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Patrick Business\IPC\public_html\ifyoucanguess\"/>
    </mc:Choice>
  </mc:AlternateContent>
  <workbookProtection workbookPassword="E309" lockStructure="1"/>
  <bookViews>
    <workbookView xWindow="0" yWindow="0" windowWidth="25200" windowHeight="11685"/>
  </bookViews>
  <sheets>
    <sheet name="Calculator" sheetId="2" r:id="rId1"/>
    <sheet name="Reference" sheetId="3" state="hidden" r:id="rId2"/>
    <sheet name="Rates" sheetId="8" r:id="rId3"/>
    <sheet name="Terms of Use" sheetId="9" r:id="rId4"/>
  </sheets>
  <definedNames>
    <definedName name="_20" localSheetId="0">Calculator!$C$135:$F$152</definedName>
    <definedName name="_27" localSheetId="0">Calculator!$C$123:$E$131</definedName>
    <definedName name="_7" localSheetId="0">Calculator!$I$135:$K$144</definedName>
    <definedName name="ccbsum1">child1ccb</definedName>
    <definedName name="ccbsum10">child1ccb+child2ccb+child3ccb+child4ccb+child5ccb+child6ccb+child7ccb+child8ccb+child9ccb+child10ccb</definedName>
    <definedName name="ccbsum2">child1ccb+child2ccb</definedName>
    <definedName name="ccbsum3">child1ccb+child2ccb+child3ccb</definedName>
    <definedName name="ccbsum4">child1ccb+child2ccb+child3ccb+child4ccb</definedName>
    <definedName name="ccbsum5">child1ccb+child2ccb+child3ccb+child4ccb+child5ccb</definedName>
    <definedName name="ccbsum6">child1ccb+child2ccb+child3ccb+child4ccb+child5ccb+child6ccb</definedName>
    <definedName name="ccbsum7">child1ccb+child2ccb+child3ccb+child4ccb+child5ccb+child6ccb+child7ccb</definedName>
    <definedName name="ccbsum8">child1ccb+child2ccb+child3ccb+child4ccb+child5ccb+child6ccb+child7ccb+child8ccb</definedName>
    <definedName name="ccbsum9">child1ccb+child2ccb+child3ccb+child4ccb+child5ccb+child6ccb+child7ccb+child8ccb+child9ccb</definedName>
    <definedName name="child10ccb">SUM(Calculator!$L$106:$L$108)*Calculator!$J$97</definedName>
    <definedName name="child1ccb">SUM(Calculator!$F$22:$F$24)*Calculator!$D$13</definedName>
    <definedName name="child2ccb">SUM(Calculator!$L$22:$L$24)*Calculator!$J$13</definedName>
    <definedName name="child3ccb">SUM(Calculator!$F$43:$F$45)*Calculator!$D$34</definedName>
    <definedName name="child4ccb">SUM(Calculator!$L$43:$L$45)*Calculator!$J$34</definedName>
    <definedName name="child5ccb">SUM(Calculator!$F$64:$F$66)*Calculator!$D$55</definedName>
    <definedName name="child6ccb">SUM(Calculator!$L$64:$L$66)*Calculator!$J$55</definedName>
    <definedName name="child7ccb">SUM(Calculator!$F$85:$F$87)*Calculator!$D$76</definedName>
    <definedName name="child8ccb">SUM(Calculator!$L$85:$L$87)*Calculator!$J$76</definedName>
    <definedName name="child9ccb">SUM(Calculator!$F$106:$F$108)*Calculator!$D$97</definedName>
  </definedNames>
  <calcPr calcId="152511"/>
</workbook>
</file>

<file path=xl/calcChain.xml><?xml version="1.0" encoding="utf-8"?>
<calcChain xmlns="http://schemas.openxmlformats.org/spreadsheetml/2006/main">
  <c r="I115" i="2" l="1"/>
  <c r="C115" i="2"/>
  <c r="I94" i="2"/>
  <c r="C94" i="2"/>
  <c r="I73" i="2"/>
  <c r="C73" i="2"/>
  <c r="I52" i="2"/>
  <c r="J101" i="2" l="1"/>
  <c r="D101" i="2"/>
  <c r="J80" i="2"/>
  <c r="D80" i="2"/>
  <c r="J59" i="2"/>
  <c r="D59" i="2"/>
  <c r="J38" i="2"/>
  <c r="D38" i="2"/>
  <c r="J17" i="2"/>
  <c r="D17" i="2"/>
  <c r="L107" i="2" l="1"/>
  <c r="F107" i="2"/>
  <c r="L86" i="2"/>
  <c r="F86" i="2"/>
  <c r="L65" i="2"/>
  <c r="F65" i="2"/>
  <c r="F44" i="2"/>
  <c r="L44" i="2"/>
  <c r="F23" i="2"/>
  <c r="K108" i="2"/>
  <c r="K107" i="2"/>
  <c r="K106" i="2"/>
  <c r="E108" i="2"/>
  <c r="E107" i="2"/>
  <c r="E106" i="2"/>
  <c r="K87" i="2"/>
  <c r="K86" i="2"/>
  <c r="K85" i="2"/>
  <c r="E87" i="2"/>
  <c r="E86" i="2"/>
  <c r="E85" i="2"/>
  <c r="K66" i="2"/>
  <c r="K65" i="2"/>
  <c r="K64" i="2"/>
  <c r="E66" i="2"/>
  <c r="E65" i="2"/>
  <c r="E64" i="2"/>
  <c r="K45" i="2"/>
  <c r="K44" i="2"/>
  <c r="K43" i="2"/>
  <c r="E45" i="2"/>
  <c r="E44" i="2"/>
  <c r="E43" i="2"/>
  <c r="K24" i="2"/>
  <c r="K23" i="2"/>
  <c r="K22" i="2"/>
  <c r="C51" i="2" l="1"/>
  <c r="C72" i="2" s="1"/>
  <c r="C93" i="2" s="1"/>
  <c r="C114" i="2" s="1"/>
  <c r="I30" i="2" l="1"/>
  <c r="I51" i="2" s="1"/>
  <c r="I72" i="2" s="1"/>
  <c r="I93" i="2" s="1"/>
  <c r="I114" i="2" s="1"/>
  <c r="D45" i="2" l="1"/>
  <c r="D41" i="2"/>
  <c r="C50" i="2"/>
  <c r="C71" i="2" s="1"/>
  <c r="C92" i="2" s="1"/>
  <c r="C113" i="2" s="1"/>
  <c r="C49" i="2"/>
  <c r="C70" i="2" s="1"/>
  <c r="C91" i="2" s="1"/>
  <c r="C112" i="2" s="1"/>
  <c r="C52" i="2"/>
  <c r="C48" i="2"/>
  <c r="C47" i="2"/>
  <c r="I29" i="2"/>
  <c r="I50" i="2" s="1"/>
  <c r="I71" i="2" s="1"/>
  <c r="I92" i="2" s="1"/>
  <c r="I113" i="2" s="1"/>
  <c r="I28" i="2"/>
  <c r="I49" i="2" s="1"/>
  <c r="I70" i="2" s="1"/>
  <c r="I91" i="2" s="1"/>
  <c r="I112" i="2" s="1"/>
  <c r="K110" i="2" l="1"/>
  <c r="L110" i="2" s="1"/>
  <c r="E110" i="2"/>
  <c r="F110" i="2" s="1"/>
  <c r="K89" i="2"/>
  <c r="L89" i="2" s="1"/>
  <c r="E89" i="2"/>
  <c r="F89" i="2" s="1"/>
  <c r="K68" i="2"/>
  <c r="L68" i="2" s="1"/>
  <c r="E68" i="2"/>
  <c r="F68" i="2" s="1"/>
  <c r="K47" i="2"/>
  <c r="L47" i="2" s="1"/>
  <c r="E47" i="2"/>
  <c r="F47" i="2" s="1"/>
  <c r="J97" i="2"/>
  <c r="D97" i="2"/>
  <c r="J76" i="2"/>
  <c r="D76" i="2"/>
  <c r="J55" i="2"/>
  <c r="D55" i="2"/>
  <c r="J34" i="2"/>
  <c r="D34" i="2"/>
  <c r="M105" i="2"/>
  <c r="G105" i="2"/>
  <c r="M84" i="2"/>
  <c r="G84" i="2"/>
  <c r="G63" i="2"/>
  <c r="M63" i="2"/>
  <c r="M42" i="2"/>
  <c r="M21" i="2"/>
  <c r="G42" i="2"/>
  <c r="E26" i="2" l="1"/>
  <c r="D13" i="2" l="1"/>
  <c r="I16" i="2"/>
  <c r="I15" i="2"/>
  <c r="I14" i="2"/>
  <c r="L20" i="2" l="1"/>
  <c r="J47" i="2"/>
  <c r="J68" i="2"/>
  <c r="J89" i="2"/>
  <c r="J110" i="2"/>
  <c r="D110" i="2"/>
  <c r="D89" i="2"/>
  <c r="D68" i="2"/>
  <c r="D47" i="2"/>
  <c r="C41" i="2"/>
  <c r="I41" i="2" s="1"/>
  <c r="C40" i="2"/>
  <c r="I40" i="2" s="1"/>
  <c r="C39" i="2"/>
  <c r="I39" i="2" s="1"/>
  <c r="J20" i="2"/>
  <c r="K26" i="2" s="1"/>
  <c r="I20" i="2"/>
  <c r="I19" i="2"/>
  <c r="I18" i="2"/>
  <c r="D21" i="2"/>
  <c r="J21" i="2" s="1"/>
  <c r="I22" i="2"/>
  <c r="I23" i="2"/>
  <c r="L26" i="2" l="1"/>
  <c r="C60" i="2"/>
  <c r="I60" i="2" s="1"/>
  <c r="C62" i="2"/>
  <c r="I62" i="2" s="1"/>
  <c r="C61" i="2"/>
  <c r="D7" i="8"/>
  <c r="D8" i="8"/>
  <c r="D9" i="8"/>
  <c r="D10" i="8"/>
  <c r="D11" i="8" s="1"/>
  <c r="E6" i="2" s="1"/>
  <c r="D6" i="8"/>
  <c r="D15" i="8"/>
  <c r="C81" i="2" l="1"/>
  <c r="C83" i="2"/>
  <c r="I83" i="2" s="1"/>
  <c r="I81" i="2"/>
  <c r="C102" i="2"/>
  <c r="I102" i="2" s="1"/>
  <c r="C82" i="2"/>
  <c r="I61" i="2"/>
  <c r="I2" i="8"/>
  <c r="H6" i="8"/>
  <c r="E8" i="2"/>
  <c r="L23" i="2" s="1"/>
  <c r="C104" i="2" l="1"/>
  <c r="I104" i="2" s="1"/>
  <c r="I82" i="2"/>
  <c r="C103" i="2"/>
  <c r="I103" i="2" s="1"/>
  <c r="B5" i="3"/>
  <c r="B4" i="3"/>
  <c r="B2" i="3"/>
  <c r="D9" i="2"/>
  <c r="E24" i="2" l="1"/>
  <c r="F24" i="2" s="1"/>
  <c r="G24" i="2" s="1"/>
  <c r="E23" i="2"/>
  <c r="E22" i="2"/>
  <c r="L22" i="2" l="1"/>
  <c r="F22" i="2"/>
  <c r="G22" i="2" s="1"/>
  <c r="M23" i="2"/>
  <c r="G23" i="2"/>
  <c r="F43" i="2"/>
  <c r="I27" i="2"/>
  <c r="I31" i="2"/>
  <c r="I26" i="2"/>
  <c r="E11" i="3"/>
  <c r="E10" i="3"/>
  <c r="E9" i="3"/>
  <c r="E8" i="3"/>
  <c r="E7" i="3"/>
  <c r="E6" i="3"/>
  <c r="E5" i="3"/>
  <c r="E4" i="3"/>
  <c r="I24" i="2"/>
  <c r="C44" i="2"/>
  <c r="I44" i="2" s="1"/>
  <c r="C45" i="2"/>
  <c r="I45" i="2" s="1"/>
  <c r="C43" i="2"/>
  <c r="I43" i="2" s="1"/>
  <c r="E3" i="3"/>
  <c r="E2" i="3"/>
  <c r="E7" i="2"/>
  <c r="G43" i="2" l="1"/>
  <c r="M22" i="2"/>
  <c r="E27" i="2"/>
  <c r="D42" i="2"/>
  <c r="F64" i="2"/>
  <c r="L43" i="2"/>
  <c r="C64" i="2"/>
  <c r="I64" i="2" s="1"/>
  <c r="C65" i="2"/>
  <c r="C66" i="2"/>
  <c r="F11" i="3"/>
  <c r="F9" i="3"/>
  <c r="F7" i="3"/>
  <c r="F5" i="3"/>
  <c r="F10" i="3"/>
  <c r="F8" i="3"/>
  <c r="F6" i="3"/>
  <c r="F4" i="3"/>
  <c r="D11" i="3"/>
  <c r="D9" i="3"/>
  <c r="D7" i="3"/>
  <c r="D5" i="3"/>
  <c r="D10" i="3"/>
  <c r="D8" i="3"/>
  <c r="D6" i="3"/>
  <c r="D4" i="3"/>
  <c r="F3" i="3"/>
  <c r="D3" i="3"/>
  <c r="F2" i="3"/>
  <c r="D2" i="3"/>
  <c r="E28" i="2" l="1"/>
  <c r="E29" i="2" s="1"/>
  <c r="E30" i="2" s="1"/>
  <c r="C85" i="2"/>
  <c r="C106" i="2" s="1"/>
  <c r="I106" i="2" s="1"/>
  <c r="D27" i="2"/>
  <c r="M43" i="2"/>
  <c r="G64" i="2"/>
  <c r="J42" i="2"/>
  <c r="D63" i="2"/>
  <c r="L64" i="2"/>
  <c r="F85" i="2"/>
  <c r="I66" i="2"/>
  <c r="C87" i="2"/>
  <c r="I65" i="2"/>
  <c r="C86" i="2"/>
  <c r="I85" i="2"/>
  <c r="J13" i="2"/>
  <c r="C2" i="3"/>
  <c r="D28" i="2" l="1"/>
  <c r="D29" i="2" s="1"/>
  <c r="G85" i="2"/>
  <c r="M64" i="2"/>
  <c r="C3" i="3"/>
  <c r="D84" i="2"/>
  <c r="J63" i="2"/>
  <c r="L85" i="2"/>
  <c r="F106" i="2"/>
  <c r="I86" i="2"/>
  <c r="C107" i="2"/>
  <c r="I107" i="2" s="1"/>
  <c r="I87" i="2"/>
  <c r="C108" i="2"/>
  <c r="I108" i="2" s="1"/>
  <c r="L2" i="2"/>
  <c r="F26" i="2"/>
  <c r="D26" i="2"/>
  <c r="D30" i="2" s="1"/>
  <c r="M85" i="2" l="1"/>
  <c r="G106" i="2"/>
  <c r="L106" i="2"/>
  <c r="C5" i="3"/>
  <c r="D105" i="2"/>
  <c r="J105" i="2" s="1"/>
  <c r="J84" i="2"/>
  <c r="C6" i="3"/>
  <c r="C4" i="3"/>
  <c r="B7" i="3"/>
  <c r="M106" i="2" l="1"/>
  <c r="B6" i="3"/>
  <c r="B8" i="3"/>
  <c r="C7" i="3"/>
  <c r="C8" i="3"/>
  <c r="B9" i="3"/>
  <c r="B10" i="3"/>
  <c r="C9" i="3" l="1"/>
  <c r="C10" i="3"/>
  <c r="B11" i="3"/>
  <c r="C11" i="3" l="1"/>
  <c r="D31" i="2" l="1"/>
  <c r="E31" i="2"/>
  <c r="L24" i="2"/>
  <c r="G44" i="2" l="1"/>
  <c r="M24" i="2"/>
  <c r="K27" i="2" s="1"/>
  <c r="F45" i="2"/>
  <c r="G45" i="2" s="1"/>
  <c r="G2" i="3"/>
  <c r="F27" i="2"/>
  <c r="F28" i="2" l="1"/>
  <c r="F29" i="2" s="1"/>
  <c r="F30" i="2" s="1"/>
  <c r="F31" i="2"/>
  <c r="J27" i="2"/>
  <c r="J28" i="2" s="1"/>
  <c r="J29" i="2" s="1"/>
  <c r="K28" i="2"/>
  <c r="K29" i="2" s="1"/>
  <c r="K30" i="2" s="1"/>
  <c r="L27" i="2"/>
  <c r="K31" i="2"/>
  <c r="E48" i="2"/>
  <c r="G65" i="2"/>
  <c r="M44" i="2"/>
  <c r="F66" i="2"/>
  <c r="G66" i="2" s="1"/>
  <c r="L45" i="2"/>
  <c r="M45" i="2" s="1"/>
  <c r="L31" i="2" l="1"/>
  <c r="L28" i="2"/>
  <c r="L29" i="2" s="1"/>
  <c r="L30" i="2" s="1"/>
  <c r="E49" i="2"/>
  <c r="E69" i="2"/>
  <c r="F48" i="2"/>
  <c r="D48" i="2"/>
  <c r="E52" i="2"/>
  <c r="K48" i="2"/>
  <c r="K49" i="2" s="1"/>
  <c r="G86" i="2"/>
  <c r="M65" i="2"/>
  <c r="L66" i="2"/>
  <c r="M66" i="2" s="1"/>
  <c r="F87" i="2"/>
  <c r="G87" i="2" s="1"/>
  <c r="K50" i="2" l="1"/>
  <c r="K51" i="2" s="1"/>
  <c r="E50" i="2"/>
  <c r="E51" i="2" s="1"/>
  <c r="D69" i="2"/>
  <c r="E70" i="2"/>
  <c r="D52" i="2"/>
  <c r="D49" i="2"/>
  <c r="F52" i="2"/>
  <c r="F49" i="2"/>
  <c r="E73" i="2"/>
  <c r="E90" i="2"/>
  <c r="F69" i="2"/>
  <c r="L48" i="2"/>
  <c r="J48" i="2"/>
  <c r="K52" i="2"/>
  <c r="K69" i="2"/>
  <c r="M86" i="2"/>
  <c r="G107" i="2"/>
  <c r="G4" i="3"/>
  <c r="L87" i="2"/>
  <c r="M87" i="2" s="1"/>
  <c r="F108" i="2"/>
  <c r="G108" i="2" s="1"/>
  <c r="E71" i="2" l="1"/>
  <c r="E72" i="2" s="1"/>
  <c r="F50" i="2"/>
  <c r="F51" i="2" s="1"/>
  <c r="D50" i="2"/>
  <c r="D51" i="2" s="1"/>
  <c r="F90" i="2"/>
  <c r="E91" i="2"/>
  <c r="J69" i="2"/>
  <c r="K70" i="2"/>
  <c r="F73" i="2"/>
  <c r="F70" i="2"/>
  <c r="D73" i="2"/>
  <c r="D70" i="2"/>
  <c r="J52" i="2"/>
  <c r="J49" i="2"/>
  <c r="L52" i="2"/>
  <c r="L49" i="2"/>
  <c r="D90" i="2"/>
  <c r="E94" i="2"/>
  <c r="L69" i="2"/>
  <c r="K73" i="2"/>
  <c r="E111" i="2"/>
  <c r="K90" i="2"/>
  <c r="M107" i="2"/>
  <c r="G5" i="3"/>
  <c r="G7" i="3"/>
  <c r="G6" i="3"/>
  <c r="L108" i="2"/>
  <c r="M108" i="2" s="1"/>
  <c r="E92" i="2" l="1"/>
  <c r="E93" i="2" s="1"/>
  <c r="D71" i="2"/>
  <c r="D72" i="2" s="1"/>
  <c r="F71" i="2"/>
  <c r="F72" i="2" s="1"/>
  <c r="K71" i="2"/>
  <c r="K72" i="2" s="1"/>
  <c r="L50" i="2"/>
  <c r="L51" i="2" s="1"/>
  <c r="J50" i="2"/>
  <c r="J51" i="2" s="1"/>
  <c r="F111" i="2"/>
  <c r="E112" i="2"/>
  <c r="J90" i="2"/>
  <c r="K91" i="2"/>
  <c r="D94" i="2"/>
  <c r="D91" i="2"/>
  <c r="F94" i="2"/>
  <c r="F91" i="2"/>
  <c r="L73" i="2"/>
  <c r="L70" i="2"/>
  <c r="J73" i="2"/>
  <c r="J70" i="2"/>
  <c r="K111" i="2"/>
  <c r="D111" i="2"/>
  <c r="E115" i="2"/>
  <c r="L90" i="2"/>
  <c r="K94" i="2"/>
  <c r="G8" i="3"/>
  <c r="G9" i="3"/>
  <c r="E113" i="2" l="1"/>
  <c r="E114" i="2" s="1"/>
  <c r="F92" i="2"/>
  <c r="F93" i="2" s="1"/>
  <c r="D92" i="2"/>
  <c r="D93" i="2" s="1"/>
  <c r="K92" i="2"/>
  <c r="K93" i="2" s="1"/>
  <c r="J71" i="2"/>
  <c r="J72" i="2" s="1"/>
  <c r="L71" i="2"/>
  <c r="L72" i="2" s="1"/>
  <c r="K115" i="2"/>
  <c r="K112" i="2"/>
  <c r="D115" i="2"/>
  <c r="D112" i="2"/>
  <c r="F115" i="2"/>
  <c r="F112" i="2"/>
  <c r="L94" i="2"/>
  <c r="L91" i="2"/>
  <c r="J94" i="2"/>
  <c r="J91" i="2"/>
  <c r="L111" i="2"/>
  <c r="J111" i="2"/>
  <c r="G10" i="3"/>
  <c r="G11" i="3"/>
  <c r="D113" i="2" l="1"/>
  <c r="D114" i="2" s="1"/>
  <c r="K113" i="2"/>
  <c r="K114" i="2" s="1"/>
  <c r="F113" i="2"/>
  <c r="F114" i="2" s="1"/>
  <c r="J92" i="2"/>
  <c r="J93" i="2" s="1"/>
  <c r="L92" i="2"/>
  <c r="L93" i="2" s="1"/>
  <c r="J115" i="2"/>
  <c r="J112" i="2"/>
  <c r="L115" i="2"/>
  <c r="L112" i="2"/>
  <c r="J26" i="2"/>
  <c r="L113" i="2" l="1"/>
  <c r="L114" i="2" s="1"/>
  <c r="J113" i="2"/>
  <c r="J114" i="2" s="1"/>
  <c r="J31" i="2"/>
  <c r="J30" i="2"/>
  <c r="B3" i="3"/>
  <c r="J5" i="2" s="1"/>
  <c r="G3" i="3" l="1"/>
  <c r="J6" i="2" s="1"/>
  <c r="K5" i="2"/>
  <c r="L5" i="2"/>
  <c r="J7" i="2" l="1"/>
  <c r="J8" i="2" s="1"/>
  <c r="J9" i="2" s="1"/>
  <c r="J10" i="2"/>
  <c r="K10" i="2" s="1"/>
  <c r="L6" i="2"/>
  <c r="K6" i="2"/>
  <c r="K7" i="2" s="1"/>
  <c r="L7" i="2" l="1"/>
  <c r="L8" i="2" s="1"/>
  <c r="L9" i="2" s="1"/>
  <c r="L10" i="2"/>
  <c r="K8" i="2"/>
  <c r="K9" i="2" s="1"/>
</calcChain>
</file>

<file path=xl/comments1.xml><?xml version="1.0" encoding="utf-8"?>
<comments xmlns="http://schemas.openxmlformats.org/spreadsheetml/2006/main">
  <authors>
    <author>Patrick Shi</author>
    <author>IPC</author>
    <author>Patrick</author>
    <author>M025941</author>
  </authors>
  <commentList>
    <comment ref="C5" authorId="0" shapeId="0">
      <text>
        <r>
          <rPr>
            <sz val="8"/>
            <color indexed="81"/>
            <rFont val="Tahoma"/>
            <family val="2"/>
          </rPr>
          <t>Number of children in approved care.</t>
        </r>
      </text>
    </comment>
    <comment ref="I6" authorId="1" shapeId="0">
      <text>
        <r>
          <rPr>
            <sz val="8"/>
            <color indexed="81"/>
            <rFont val="Tahoma"/>
            <family val="2"/>
          </rPr>
          <t>This is your CCS entitlement.</t>
        </r>
      </text>
    </comment>
    <comment ref="I7" authorId="1" shapeId="0">
      <text>
        <r>
          <rPr>
            <sz val="8"/>
            <color indexed="81"/>
            <rFont val="Tahoma"/>
            <family val="2"/>
          </rPr>
          <t>5% of your Child Care Subsidy entitlement will be withheld unitl the end-of-year reconciliation. This balance will be paid back to families in their tax return if they are eligible.</t>
        </r>
      </text>
    </comment>
    <comment ref="I8" authorId="1" shapeId="0">
      <text>
        <r>
          <rPr>
            <sz val="8"/>
            <color indexed="81"/>
            <rFont val="Tahoma"/>
            <family val="2"/>
          </rPr>
          <t>This is the amount to be paid directly to service provider.</t>
        </r>
      </text>
    </comment>
    <comment ref="I9" authorId="2" shapeId="0">
      <text>
        <r>
          <rPr>
            <sz val="8"/>
            <color indexed="81"/>
            <rFont val="Tahoma"/>
            <family val="2"/>
          </rPr>
          <t>Child Care Fees Gap = Child Care Fees - CCS Paid to Service Provider.
This is the gap (prior to the 5% CCS withholding being paid back to you) you need to cover until the end-of-year reconciliation.</t>
        </r>
      </text>
    </comment>
    <comment ref="I10" authorId="1" shapeId="0">
      <text>
        <r>
          <rPr>
            <sz val="8"/>
            <color indexed="81"/>
            <rFont val="Tahoma"/>
            <family val="2"/>
          </rPr>
          <t>Out-of-pocket Child Care Cost = Child Care Fees - Child Care Subsidy.
This is the true child care cost to you after the 5% CCS withholding is paid back to you.</t>
        </r>
      </text>
    </comment>
    <comment ref="C13" authorId="3" shapeId="0">
      <text>
        <r>
          <rPr>
            <sz val="8"/>
            <color indexed="81"/>
            <rFont val="Tahoma"/>
            <family val="2"/>
          </rPr>
          <t>How many weeks that this child is being enrolled in child care on a yearly basis.
This is NOT how many week this child attends the care. For example this child was enrolled for 50 weeks but only attended for 48 weeks you should still enter 50 weeks.</t>
        </r>
      </text>
    </comment>
    <comment ref="C14" authorId="3" shapeId="0">
      <text>
        <r>
          <rPr>
            <sz val="8"/>
            <color indexed="81"/>
            <rFont val="Tahoma"/>
            <family val="2"/>
          </rPr>
          <t>How many weeks that this child is being enrolled in this type of child care on a yearly basis.</t>
        </r>
      </text>
    </comment>
    <comment ref="C15" authorId="3" shapeId="0">
      <text>
        <r>
          <rPr>
            <sz val="8"/>
            <color indexed="81"/>
            <rFont val="Tahoma"/>
            <family val="2"/>
          </rPr>
          <t>How many weeks that this child is being enrolled in this type of child care on a yearly basis.</t>
        </r>
      </text>
    </comment>
    <comment ref="C16" authorId="3" shapeId="0">
      <text>
        <r>
          <rPr>
            <sz val="8"/>
            <color indexed="81"/>
            <rFont val="Tahoma"/>
            <family val="2"/>
          </rPr>
          <t>How many weeks that this child is being enrolled in this type of child care on a yearly basis.</t>
        </r>
      </text>
    </comment>
    <comment ref="C17" authorId="3" shapeId="0">
      <text>
        <r>
          <rPr>
            <sz val="8"/>
            <color indexed="81"/>
            <rFont val="Tahoma"/>
            <family val="2"/>
          </rPr>
          <t>Total weekly fees you pay to child care centre.
If you are not so sure about the child care fees, please refer to the "Cost of Child Care" sheet.</t>
        </r>
      </text>
    </comment>
    <comment ref="C18" authorId="3" shapeId="0">
      <text>
        <r>
          <rPr>
            <sz val="8"/>
            <color indexed="81"/>
            <rFont val="Tahoma"/>
            <family val="2"/>
          </rPr>
          <t xml:space="preserve">Anytime inside the 10 hour block, Monday to Friday; Long Day Care ONLY - Not the followings:
Family Day Care, In-Home Care, Occasional Care, or Outside School Hours Care.
</t>
        </r>
        <r>
          <rPr>
            <b/>
            <sz val="8"/>
            <color indexed="17"/>
            <rFont val="Tahoma"/>
            <family val="2"/>
          </rPr>
          <t>For non school child, long day care is the service you are most likely to use.</t>
        </r>
      </text>
    </comment>
    <comment ref="C19" authorId="3" shapeId="0">
      <text>
        <r>
          <rPr>
            <sz val="8"/>
            <color indexed="81"/>
            <rFont val="Tahoma"/>
            <family val="2"/>
          </rPr>
          <t>Anytime inside the 10 hour block, Monday to Friday; Family Day Care or In-Home Care only!</t>
        </r>
      </text>
    </comment>
    <comment ref="C20" authorId="3" shapeId="0">
      <text>
        <r>
          <rPr>
            <sz val="8"/>
            <color indexed="81"/>
            <rFont val="Tahoma"/>
            <family val="2"/>
          </rPr>
          <t xml:space="preserve">All other kinds of approved child care service, such as an occasional care service, or an outside school hours care service including Vacation Care.
</t>
        </r>
        <r>
          <rPr>
            <b/>
            <sz val="8"/>
            <color indexed="17"/>
            <rFont val="Tahoma"/>
            <family val="2"/>
          </rPr>
          <t>For school child, an outside school hours care service is the one you are most likely to use.</t>
        </r>
      </text>
    </comment>
    <comment ref="C21" authorId="0" shapeId="0">
      <text>
        <r>
          <rPr>
            <sz val="8"/>
            <color indexed="81"/>
            <rFont val="Tahoma"/>
            <family val="2"/>
          </rPr>
          <t xml:space="preserve">How many hours this child is being enrolled into the care per wekk. It should be no more than 60 hours in total.
If you </t>
        </r>
        <r>
          <rPr>
            <b/>
            <sz val="8"/>
            <color indexed="10"/>
            <rFont val="Tahoma"/>
            <family val="2"/>
          </rPr>
          <t>DON'T</t>
        </r>
        <r>
          <rPr>
            <sz val="8"/>
            <color indexed="81"/>
            <rFont val="Tahoma"/>
            <family val="2"/>
          </rPr>
          <t xml:space="preserve"> meet the Activity Test, you may still be assisted through the new Child Care Safety Net.</t>
        </r>
      </text>
    </comment>
    <comment ref="C22" authorId="3" shapeId="0">
      <text>
        <r>
          <rPr>
            <sz val="8"/>
            <color indexed="81"/>
            <rFont val="Tahoma"/>
            <family val="2"/>
          </rPr>
          <t xml:space="preserve">Anytime inside the 10 hour block, Monday to Friday; Long Day Care ONLY - Not the followings:
Family Day Care, In-Home Care, Occasional Care, or Outside School Hours Care.
</t>
        </r>
        <r>
          <rPr>
            <b/>
            <sz val="8"/>
            <color indexed="17"/>
            <rFont val="Tahoma"/>
            <family val="2"/>
          </rPr>
          <t>For non school child, long day care is the service you are most likely to use.</t>
        </r>
      </text>
    </comment>
    <comment ref="C23" authorId="3" shapeId="0">
      <text>
        <r>
          <rPr>
            <sz val="8"/>
            <color indexed="81"/>
            <rFont val="Tahoma"/>
            <family val="2"/>
          </rPr>
          <t>Anytime inside the 10 hour block, Monday to Friday; Family Day Care or In-Home Care only!</t>
        </r>
      </text>
    </comment>
    <comment ref="C24" authorId="3" shapeId="0">
      <text>
        <r>
          <rPr>
            <sz val="8"/>
            <color indexed="81"/>
            <rFont val="Tahoma"/>
            <family val="2"/>
          </rPr>
          <t xml:space="preserve">All other kinds of approved child care service, such as an occasional care service, or an outside school hours care service including Vacation Care.
</t>
        </r>
        <r>
          <rPr>
            <b/>
            <sz val="8"/>
            <color indexed="17"/>
            <rFont val="Tahoma"/>
            <family val="2"/>
          </rPr>
          <t>For school child, an outside school hours care service is the one you are most likely to use.</t>
        </r>
      </text>
    </comment>
    <comment ref="C28" authorId="0" shapeId="0">
      <text>
        <r>
          <rPr>
            <sz val="8"/>
            <color indexed="81"/>
            <rFont val="Tahoma"/>
            <family val="2"/>
          </rPr>
          <t>5% of your Child Care Subsidy entitlement will be withheld unitl the end-of-year reconciliation. This balance will be paid back to families in their tax return if they are eligible.</t>
        </r>
      </text>
    </comment>
    <comment ref="C29" authorId="0" shapeId="0">
      <text>
        <r>
          <rPr>
            <sz val="8"/>
            <color indexed="81"/>
            <rFont val="Tahoma"/>
            <family val="2"/>
          </rPr>
          <t>This is the amount to be paid directly to service provider.</t>
        </r>
      </text>
    </comment>
    <comment ref="C30" authorId="0" shapeId="0">
      <text>
        <r>
          <rPr>
            <sz val="8"/>
            <color indexed="81"/>
            <rFont val="Tahoma"/>
            <family val="2"/>
          </rPr>
          <t>Out-of-pocket Child Care Cost = Child Care Fees - CCS Paid to Service Provider.
This is the gap (prior to the 5% CCS withholding being paid back to you) you need to cover until the end-of-year (EOY) reconciliation.</t>
        </r>
      </text>
    </comment>
    <comment ref="C31" authorId="0" shapeId="0">
      <text>
        <r>
          <rPr>
            <sz val="8"/>
            <color indexed="81"/>
            <rFont val="Tahoma"/>
            <family val="2"/>
          </rPr>
          <t>Child Care Cost after EOY Reconciliation = Child Care Fees - Child Care Subsidy.
This is the true child care cost to you after the 5% CCS withholding is paid back to you.</t>
        </r>
      </text>
    </comment>
  </commentList>
</comments>
</file>

<file path=xl/connections.xml><?xml version="1.0" encoding="utf-8"?>
<connections xmlns="http://schemas.openxmlformats.org/spreadsheetml/2006/main">
  <connection id="1" name="Connection" type="4" refreshedVersion="4" deleted="1" background="1" saveData="1">
    <webPr sourceData="1" parsePre="1" consecutive="1" xl2000="1" htmlTables="1"/>
  </connection>
  <connection id="2" name="Connection1" type="4" refreshedVersion="4" deleted="1" background="1" saveData="1">
    <webPr sourceData="1" parsePre="1" consecutive="1" xl2000="1" htmlTables="1"/>
  </connection>
  <connection id="3" name="Connection2" type="4" refreshedVersion="4" deleted="1" background="1" saveData="1">
    <webPr sourceData="1" parsePre="1" consecutive="1" xl2000="1" htmlTables="1"/>
  </connection>
</connections>
</file>

<file path=xl/sharedStrings.xml><?xml version="1.0" encoding="utf-8"?>
<sst xmlns="http://schemas.openxmlformats.org/spreadsheetml/2006/main" count="309" uniqueCount="135">
  <si>
    <t>Weekly Hours</t>
  </si>
  <si>
    <t>Hourly Rate</t>
  </si>
  <si>
    <t>Weekly Total</t>
  </si>
  <si>
    <t xml:space="preserve">Family Adjusted Taxable Income </t>
  </si>
  <si>
    <t>Information Needed</t>
  </si>
  <si>
    <t>No. of Children in Care</t>
  </si>
  <si>
    <t>Children in Care</t>
  </si>
  <si>
    <t>http://www.investmentpropertycalculator.com.au</t>
  </si>
  <si>
    <t>Weekly Fees</t>
  </si>
  <si>
    <t>Yearly Weeks in Care</t>
  </si>
  <si>
    <t>Child Care Fees</t>
  </si>
  <si>
    <t>Yearly</t>
  </si>
  <si>
    <t>Weekly</t>
  </si>
  <si>
    <t>Child in Care 1</t>
  </si>
  <si>
    <t>Child in Care 2</t>
  </si>
  <si>
    <t>Child in Care 3</t>
  </si>
  <si>
    <t>Child in Care 4</t>
  </si>
  <si>
    <t>Child in Care 5</t>
  </si>
  <si>
    <t>Child in Care 6</t>
  </si>
  <si>
    <t>Child in Care 7</t>
  </si>
  <si>
    <t>Child in Care 8</t>
  </si>
  <si>
    <t>Child in Care 9</t>
  </si>
  <si>
    <t>Child in Care 10</t>
  </si>
  <si>
    <t>Individual Fees</t>
  </si>
  <si>
    <t>Summary</t>
  </si>
  <si>
    <t>Out-of-pocket Child Care Cost</t>
  </si>
  <si>
    <t>Quarterly</t>
  </si>
  <si>
    <r>
      <t>How To Use</t>
    </r>
    <r>
      <rPr>
        <sz val="9"/>
        <rFont val="Arial"/>
        <family val="2"/>
      </rPr>
      <t>: Enter a value in all the YELLOW cells. Press "F9" key if figures do not change after you change anything.</t>
    </r>
  </si>
  <si>
    <t>Yes</t>
  </si>
  <si>
    <t>Number of children</t>
  </si>
  <si>
    <t>Family's ATI</t>
  </si>
  <si>
    <t>Calculation of MWB</t>
  </si>
  <si>
    <t>any amount</t>
  </si>
  <si>
    <t>Multiply by 50</t>
  </si>
  <si>
    <t>below upper income threshold</t>
  </si>
  <si>
    <t>Multiply by 100</t>
  </si>
  <si>
    <t>Multiply by 150</t>
  </si>
  <si>
    <t>http://guides.dss.gov.au/family-assistance-guide/1/1/m/27</t>
  </si>
  <si>
    <t>http://guides.dss.gov.au/family-assistance-guide/3/6/5/20</t>
  </si>
  <si>
    <t>One child - income threshold</t>
  </si>
  <si>
    <t>More than one child - lower income threshold</t>
  </si>
  <si>
    <t>More than one child - upper income threshold</t>
  </si>
  <si>
    <t>2014-15</t>
  </si>
  <si>
    <t>2013-14</t>
  </si>
  <si>
    <t>2012-13</t>
  </si>
  <si>
    <t>2011-12</t>
  </si>
  <si>
    <t>2010-11</t>
  </si>
  <si>
    <t>2009-10</t>
  </si>
  <si>
    <t>2008-09</t>
  </si>
  <si>
    <t>2007-08</t>
  </si>
  <si>
    <t>2006-07</t>
  </si>
  <si>
    <t>2005-06</t>
  </si>
  <si>
    <t>2004-05</t>
  </si>
  <si>
    <t>2003-04</t>
  </si>
  <si>
    <t>2002-03</t>
  </si>
  <si>
    <t>2001-02</t>
  </si>
  <si>
    <t>2000-01</t>
  </si>
  <si>
    <t>Income year</t>
  </si>
  <si>
    <t>2015-16</t>
  </si>
  <si>
    <t>http://guides.dss.gov.au/family-assistance-guide/1/2/7</t>
  </si>
  <si>
    <t>Income Year</t>
  </si>
  <si>
    <t>Maximum Limit</t>
  </si>
  <si>
    <t>Delivered by</t>
  </si>
  <si>
    <t>2008-09 (50%)</t>
  </si>
  <si>
    <t>FAO</t>
  </si>
  <si>
    <t>2009-10 (50%)</t>
  </si>
  <si>
    <t>2010-11 (50%)</t>
  </si>
  <si>
    <t>2011-12 (50%)</t>
  </si>
  <si>
    <t>2012-13 (50%)</t>
  </si>
  <si>
    <t>Centrelink</t>
  </si>
  <si>
    <t>2013-14 (50%)</t>
  </si>
  <si>
    <t>2014-15 (50%)</t>
  </si>
  <si>
    <t>2015-16 (50%)</t>
  </si>
  <si>
    <t>2016-17 (50%)</t>
  </si>
  <si>
    <t>Information Source Below:</t>
  </si>
  <si>
    <t>Add $19.03 (multiple child loading for 2 children)</t>
  </si>
  <si>
    <t>Standard hourly rate $4.24</t>
  </si>
  <si>
    <t>Add $55.31 (multiple child loading for 3 children)</t>
  </si>
  <si>
    <t>2016-17</t>
  </si>
  <si>
    <t>Standard hourly rate (1.1.S.100) $4.24</t>
  </si>
  <si>
    <t>Weeks</t>
  </si>
  <si>
    <t>Centre Based Long Day Care</t>
  </si>
  <si>
    <t>Family Day Care</t>
  </si>
  <si>
    <t>Outside School Hours Care</t>
  </si>
  <si>
    <t>Income</t>
  </si>
  <si>
    <t>Subsidy %</t>
  </si>
  <si>
    <t>Taper</t>
  </si>
  <si>
    <t>Taper Unit</t>
  </si>
  <si>
    <t>Maximum hourly fee cap</t>
  </si>
  <si>
    <t>Benefit</t>
  </si>
  <si>
    <t>Meet the Activity Test Requirements</t>
  </si>
  <si>
    <t>Hours of Activity (per Fortnight)</t>
  </si>
  <si>
    <t>Child Care Subsidy %</t>
  </si>
  <si>
    <t>Child Care Subsidy $</t>
  </si>
  <si>
    <t>Child Care Subsidy</t>
  </si>
  <si>
    <t>Child Care Subsidy Calculator</t>
  </si>
  <si>
    <t>more than 48 hours</t>
  </si>
  <si>
    <t>Annual Cap per Child</t>
  </si>
  <si>
    <t>Hours of activity (per fortnight)</t>
  </si>
  <si>
    <t>8 hours to 16 hours</t>
  </si>
  <si>
    <t>More than 16 hours to 48 hours</t>
  </si>
  <si>
    <t>More than 48 hours</t>
  </si>
  <si>
    <t>Maximum Child Care Subsidy</t>
  </si>
  <si>
    <t>Subsidy Applicable Percentage</t>
  </si>
  <si>
    <t>Service type</t>
  </si>
  <si>
    <t>Activity Test</t>
  </si>
  <si>
    <t>Annual Subsidy Cap</t>
  </si>
  <si>
    <t>Hourly Fee Caps</t>
  </si>
  <si>
    <t>Maximum hours of subsidy (per fortnight)</t>
  </si>
  <si>
    <t>Up to $66,958</t>
  </si>
  <si>
    <t>More than $66,958 to below $171,958</t>
  </si>
  <si>
    <t>$171,958 to below $251,248</t>
  </si>
  <si>
    <t>$251,248 to below $341,248</t>
  </si>
  <si>
    <t>$341,248 to below $351,248</t>
  </si>
  <si>
    <t>$351,248 or more</t>
  </si>
  <si>
    <t>Families earning more than $186,958</t>
  </si>
  <si>
    <t>* This calculator is developed based on the information from https://www.education.gov.au/child-care-subsidy-1</t>
  </si>
  <si>
    <t>Max Yearly Fee Eligible for CCS</t>
  </si>
  <si>
    <t>Maximum Hourly Fee Cap</t>
  </si>
  <si>
    <t>5% CCS Withholding</t>
  </si>
  <si>
    <t>CCS Paid to Service Provider</t>
  </si>
  <si>
    <t>Payment</t>
  </si>
  <si>
    <t>Withholding</t>
  </si>
  <si>
    <t>Some states do not allow the limitation or exclusion of liability for incidental or consequential damages, so the above limitation may not apply to you.</t>
  </si>
  <si>
    <t>IN NO EVENT SHALL INVESTMENT PROPERTY CALCULATOR OR MR. YUQUAN SHI BE LIABLE TO YOU, FOR ANY DAMAGES, INCLUDING ANY LOST PROFITS, LOST SAVINGS, OR ANY OTHER DIRECT, INDIRECT, SPECIAL, INCIDENTAL, OR CONSEQUENTIAL DAMAGES ARISING FROM THE USE OR THE INABILITY TO USE THE SOFTWARE (EVEN IF WE OR AN AUTHORIZED DEALER OR DISTRIBUTOR HAS BEEN ADVISED OF THE POSSIBILITY OF THESE DAMAGES), OR ANY MISTAKES AND NEGLIGENCE IN DEVELOPING THIS SOFTWARE, OR FOR ANY CLAIM BY ANY OTHER PARTY. THE ORGANIZATION, BUSINESS, OR PERSON USING THIS SOFTWARE BEARS ALL RISKS AND RESPONSIBILITY FOR THE QUALITY AND PERFORMANCE OF THIS SOFTWARE.</t>
  </si>
  <si>
    <t>Limitation of Liability</t>
  </si>
  <si>
    <t>THE SOFTWARE AND ANY RELATED DOCUMENTATION ARE PROVIDED TO YOU "AS IS." INVESTMENT PROPERTY CALCULATOR OR MR. YUQUAN SHI MAKES NO WARRANTIES, EXPRESS OR IMPLIED, AND EXPRESSLY DISCLAIMS ALL REPRESENTATIONS, ORAL OR WRITTEN, TERMS, CONDITIONS, AND WARRANTIES, INCLUDING BUT NOT LIMITED TO, IMPLIED WARRANTIES OF MERCHANTABILITY, FITNESS FOR A PARTICULAR PURPOSE, AND NONINFRINGEMENT. WITHOUT LIMITING THE ABOVE YOU ACCEPT THAT THE SOFTWARE MAY NOT MEET YOUR REQUIREMENTS, OPERATE ERROR FREE, OR IDENTIFY ANY OR ALL ERRORS OR PROBLEMS, OR DO SO ACCURATELY. This Agreement does not affect any statutory rights you may have as a consumer.</t>
  </si>
  <si>
    <t>No Warranties</t>
  </si>
  <si>
    <t>Caution: This calculator is for educational and illustrative purposes only and should not be construed as financial advice. The results are only estimations. Please consult a qualified professional regarding financial decisions.</t>
  </si>
  <si>
    <t>This calculator is intended only for the private use of its customers. Reproduction, resale, or other redistribution of this calculator or any document including or derived from this calculator is not permitted without written permission of Mr. Yuquan Shi.</t>
  </si>
  <si>
    <r>
      <t>Limited Use Policy</t>
    </r>
    <r>
      <rPr>
        <sz val="8"/>
        <rFont val="Arial"/>
        <family val="2"/>
      </rPr>
      <t/>
    </r>
  </si>
  <si>
    <t>© 2008-2018 Patrick Shi</t>
  </si>
  <si>
    <t>Terms of Use</t>
  </si>
  <si>
    <t>Child Care Fees Gap</t>
  </si>
  <si>
    <t>Child Care Cost after EOY Reconciliation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</si>
</sst>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Red]\-&quot;$&quot;#,##0"/>
    <numFmt numFmtId="8" formatCode="&quot;$&quot;#,##0.00;[Red]\-&quot;$&quot;#,##0.00"/>
    <numFmt numFmtId="164" formatCode="#,##0_ ;[Red]\-#,##0\ "/>
    <numFmt numFmtId="165" formatCode="&quot;$&quot;#,##0.00"/>
  </numFmts>
  <fonts count="28" x14ac:knownFonts="1">
    <font>
      <sz val="10"/>
      <name val="Arial"/>
      <family val="2"/>
    </font>
    <font>
      <sz val="10"/>
      <name val="Arial"/>
      <family val="2"/>
    </font>
    <font>
      <sz val="8"/>
      <name val="Arial"/>
      <family val="2"/>
    </font>
    <font>
      <sz val="10"/>
      <color indexed="8"/>
      <name val="Arial"/>
      <family val="2"/>
    </font>
    <font>
      <sz val="8"/>
      <color indexed="81"/>
      <name val="Tahoma"/>
      <family val="2"/>
    </font>
    <font>
      <b/>
      <sz val="10"/>
      <name val="Arial"/>
      <family val="2"/>
    </font>
    <font>
      <b/>
      <sz val="18"/>
      <name val="Arial"/>
      <family val="2"/>
    </font>
    <font>
      <sz val="11"/>
      <name val="Arial"/>
      <family val="2"/>
    </font>
    <font>
      <b/>
      <sz val="10"/>
      <color indexed="9"/>
      <name val="Arial"/>
      <family val="2"/>
    </font>
    <font>
      <u/>
      <sz val="8"/>
      <color indexed="12"/>
      <name val="Arial"/>
      <family val="2"/>
    </font>
    <font>
      <u/>
      <sz val="10"/>
      <color indexed="12"/>
      <name val="Tahoma"/>
      <family val="2"/>
    </font>
    <font>
      <sz val="8"/>
      <name val="Arial"/>
      <family val="2"/>
    </font>
    <font>
      <sz val="8"/>
      <color indexed="10"/>
      <name val="Arial"/>
      <family val="2"/>
    </font>
    <font>
      <u/>
      <sz val="10"/>
      <name val="Arial"/>
      <family val="2"/>
    </font>
    <font>
      <b/>
      <sz val="8"/>
      <color indexed="17"/>
      <name val="Tahoma"/>
      <family val="2"/>
    </font>
    <font>
      <b/>
      <sz val="9"/>
      <name val="Arial"/>
      <family val="2"/>
    </font>
    <font>
      <sz val="9"/>
      <name val="Arial"/>
      <family val="2"/>
    </font>
    <font>
      <sz val="8"/>
      <color indexed="12"/>
      <name val="Arial"/>
      <family val="2"/>
    </font>
    <font>
      <sz val="10"/>
      <name val="Arial"/>
      <family val="2"/>
    </font>
    <font>
      <b/>
      <sz val="8"/>
      <color indexed="10"/>
      <name val="Tahoma"/>
      <family val="2"/>
    </font>
    <font>
      <b/>
      <sz val="10"/>
      <color rgb="FF000000"/>
      <name val="Arial"/>
      <family val="2"/>
    </font>
    <font>
      <sz val="10"/>
      <color rgb="FF000000"/>
      <name val="Arial"/>
      <family val="2"/>
    </font>
    <font>
      <b/>
      <sz val="11"/>
      <color rgb="FF111111"/>
      <name val="Calibri"/>
      <family val="2"/>
    </font>
    <font>
      <sz val="11"/>
      <color rgb="FF111111"/>
      <name val="Calibri"/>
      <family val="2"/>
    </font>
    <font>
      <b/>
      <i/>
      <u/>
      <sz val="10"/>
      <name val="Arial"/>
      <family val="2"/>
    </font>
    <font>
      <sz val="10"/>
      <color theme="0"/>
      <name val="Arial"/>
      <family val="2"/>
    </font>
    <font>
      <b/>
      <u/>
      <sz val="8"/>
      <name val="Arial"/>
      <family val="2"/>
    </font>
    <font>
      <u/>
      <sz val="10"/>
      <color indexed="12"/>
      <name val="Arial"/>
      <family val="2"/>
    </font>
  </fonts>
  <fills count="13">
    <fill>
      <patternFill patternType="none"/>
    </fill>
    <fill>
      <patternFill patternType="gray125"/>
    </fill>
    <fill>
      <patternFill patternType="solid">
        <fgColor indexed="57"/>
        <bgColor indexed="64"/>
      </patternFill>
    </fill>
    <fill>
      <patternFill patternType="solid">
        <fgColor indexed="42"/>
        <bgColor indexed="64"/>
      </patternFill>
    </fill>
    <fill>
      <patternFill patternType="solid">
        <fgColor indexed="13"/>
        <bgColor indexed="64"/>
      </patternFill>
    </fill>
    <fill>
      <patternFill patternType="solid">
        <fgColor indexed="47"/>
        <bgColor indexed="64"/>
      </patternFill>
    </fill>
    <fill>
      <patternFill patternType="solid">
        <fgColor indexed="22"/>
        <bgColor indexed="64"/>
      </patternFill>
    </fill>
    <fill>
      <patternFill patternType="solid">
        <fgColor indexed="50"/>
        <bgColor indexed="64"/>
      </patternFill>
    </fill>
    <fill>
      <patternFill patternType="solid">
        <fgColor rgb="FFFFFFFF"/>
        <bgColor indexed="64"/>
      </patternFill>
    </fill>
    <fill>
      <patternFill patternType="solid">
        <fgColor rgb="FFF7F9FB"/>
        <bgColor indexed="64"/>
      </patternFill>
    </fill>
    <fill>
      <patternFill patternType="solid">
        <fgColor rgb="FFDCE6FE"/>
        <bgColor indexed="64"/>
      </patternFill>
    </fill>
    <fill>
      <patternFill patternType="solid">
        <fgColor rgb="FFFBFDFF"/>
        <bgColor indexed="64"/>
      </patternFill>
    </fill>
    <fill>
      <patternFill patternType="solid">
        <fgColor rgb="FFFFFF00"/>
        <bgColor indexed="64"/>
      </patternFill>
    </fill>
  </fills>
  <borders count="23">
    <border>
      <left/>
      <right/>
      <top/>
      <bottom/>
      <diagonal/>
    </border>
    <border>
      <left style="hair">
        <color indexed="22"/>
      </left>
      <right style="hair">
        <color indexed="22"/>
      </right>
      <top style="hair">
        <color indexed="22"/>
      </top>
      <bottom style="hair">
        <color indexed="22"/>
      </bottom>
      <diagonal/>
    </border>
    <border>
      <left style="hair">
        <color indexed="22"/>
      </left>
      <right/>
      <top style="hair">
        <color indexed="22"/>
      </top>
      <bottom style="hair">
        <color indexed="22"/>
      </bottom>
      <diagonal/>
    </border>
    <border>
      <left/>
      <right/>
      <top style="hair">
        <color indexed="22"/>
      </top>
      <bottom style="hair">
        <color indexed="22"/>
      </bottom>
      <diagonal/>
    </border>
    <border>
      <left/>
      <right style="hair">
        <color indexed="22"/>
      </right>
      <top style="hair">
        <color indexed="22"/>
      </top>
      <bottom style="hair">
        <color indexed="22"/>
      </bottom>
      <diagonal/>
    </border>
    <border>
      <left style="hair">
        <color indexed="22"/>
      </left>
      <right/>
      <top/>
      <bottom/>
      <diagonal/>
    </border>
    <border>
      <left/>
      <right style="hair">
        <color indexed="22"/>
      </right>
      <top/>
      <bottom/>
      <diagonal/>
    </border>
    <border>
      <left/>
      <right/>
      <top/>
      <bottom style="hair">
        <color indexed="22"/>
      </bottom>
      <diagonal/>
    </border>
    <border>
      <left/>
      <right style="hair">
        <color indexed="22"/>
      </right>
      <top/>
      <bottom style="hair">
        <color indexed="22"/>
      </bottom>
      <diagonal/>
    </border>
    <border>
      <left style="hair">
        <color indexed="22"/>
      </left>
      <right/>
      <top/>
      <bottom style="hair">
        <color indexed="22"/>
      </bottom>
      <diagonal/>
    </border>
    <border>
      <left/>
      <right/>
      <top style="hair">
        <color indexed="22"/>
      </top>
      <bottom/>
      <diagonal/>
    </border>
    <border>
      <left/>
      <right style="hair">
        <color indexed="22"/>
      </right>
      <top style="hair">
        <color indexed="22"/>
      </top>
      <bottom/>
      <diagonal/>
    </border>
    <border>
      <left style="hair">
        <color indexed="22"/>
      </left>
      <right/>
      <top style="hair">
        <color indexed="22"/>
      </top>
      <bottom/>
      <diagonal/>
    </border>
    <border>
      <left style="hair">
        <color indexed="22"/>
      </left>
      <right style="hair">
        <color indexed="22"/>
      </right>
      <top/>
      <bottom/>
      <diagonal/>
    </border>
    <border>
      <left style="hair">
        <color indexed="22"/>
      </left>
      <right style="hair">
        <color indexed="22"/>
      </right>
      <top/>
      <bottom style="hair">
        <color indexed="22"/>
      </bottom>
      <diagonal/>
    </border>
    <border>
      <left/>
      <right/>
      <top/>
      <bottom style="medium">
        <color indexed="64"/>
      </bottom>
      <diagonal/>
    </border>
    <border>
      <left style="medium">
        <color rgb="FF808080"/>
      </left>
      <right style="medium">
        <color rgb="FF808080"/>
      </right>
      <top style="medium">
        <color rgb="FF808080"/>
      </top>
      <bottom/>
      <diagonal/>
    </border>
    <border>
      <left style="medium">
        <color rgb="FF808080"/>
      </left>
      <right style="medium">
        <color rgb="FF808080"/>
      </right>
      <top/>
      <bottom style="medium">
        <color rgb="FF808080"/>
      </bottom>
      <diagonal/>
    </border>
    <border>
      <left style="medium">
        <color rgb="FF808080"/>
      </left>
      <right style="medium">
        <color rgb="FF808080"/>
      </right>
      <top/>
      <bottom/>
      <diagonal/>
    </border>
    <border>
      <left style="medium">
        <color rgb="FF808080"/>
      </left>
      <right/>
      <top/>
      <bottom/>
      <diagonal/>
    </border>
    <border>
      <left style="medium">
        <color rgb="FF808080"/>
      </left>
      <right/>
      <top/>
      <bottom style="medium">
        <color rgb="FF808080"/>
      </bottom>
      <diagonal/>
    </border>
    <border>
      <left style="medium">
        <color rgb="FF808080"/>
      </left>
      <right/>
      <top style="medium">
        <color rgb="FF808080"/>
      </top>
      <bottom/>
      <diagonal/>
    </border>
    <border>
      <left/>
      <right/>
      <top style="medium">
        <color indexed="64"/>
      </top>
      <bottom/>
      <diagonal/>
    </border>
  </borders>
  <cellStyleXfs count="2">
    <xf numFmtId="0" fontId="0" fillId="0" borderId="0"/>
    <xf numFmtId="0" fontId="10" fillId="0" borderId="0" applyNumberFormat="0" applyFill="0" applyBorder="0" applyAlignment="0" applyProtection="0">
      <alignment vertical="top"/>
      <protection locked="0"/>
    </xf>
  </cellStyleXfs>
  <cellXfs count="181">
    <xf numFmtId="0" fontId="0" fillId="0" borderId="0" xfId="0"/>
    <xf numFmtId="0" fontId="0" fillId="0" borderId="0" xfId="0" applyBorder="1" applyAlignment="1" applyProtection="1">
      <alignment vertical="center"/>
      <protection hidden="1"/>
    </xf>
    <xf numFmtId="0" fontId="1" fillId="0" borderId="0" xfId="0" applyFont="1" applyFill="1" applyBorder="1" applyAlignment="1" applyProtection="1">
      <alignment horizontal="right" vertical="center"/>
      <protection hidden="1"/>
    </xf>
    <xf numFmtId="0" fontId="7" fillId="0" borderId="0" xfId="0" applyFont="1" applyFill="1" applyBorder="1" applyAlignment="1" applyProtection="1">
      <alignment horizontal="right" vertical="center"/>
      <protection hidden="1"/>
    </xf>
    <xf numFmtId="0" fontId="0" fillId="0" borderId="0" xfId="0" applyAlignment="1" applyProtection="1">
      <alignment vertical="center"/>
      <protection hidden="1"/>
    </xf>
    <xf numFmtId="0" fontId="0" fillId="0" borderId="0" xfId="0" applyFont="1" applyAlignment="1" applyProtection="1">
      <alignment vertical="center"/>
      <protection hidden="1"/>
    </xf>
    <xf numFmtId="0" fontId="1" fillId="0" borderId="0" xfId="0" applyFont="1" applyAlignment="1" applyProtection="1">
      <alignment vertical="center"/>
      <protection hidden="1"/>
    </xf>
    <xf numFmtId="0" fontId="1" fillId="0" borderId="0" xfId="0" applyFont="1" applyFill="1" applyBorder="1" applyAlignment="1" applyProtection="1">
      <alignment vertical="center"/>
      <protection hidden="1"/>
    </xf>
    <xf numFmtId="165" fontId="1" fillId="0" borderId="0" xfId="0" applyNumberFormat="1" applyFont="1" applyFill="1" applyBorder="1" applyAlignment="1" applyProtection="1">
      <alignment vertical="center"/>
      <protection hidden="1"/>
    </xf>
    <xf numFmtId="0" fontId="5" fillId="0" borderId="0" xfId="0" applyFont="1" applyAlignment="1" applyProtection="1">
      <alignment vertical="center"/>
      <protection hidden="1"/>
    </xf>
    <xf numFmtId="0" fontId="0" fillId="0" borderId="0" xfId="0" applyAlignment="1" applyProtection="1">
      <alignment horizontal="right" vertical="center"/>
      <protection hidden="1"/>
    </xf>
    <xf numFmtId="0" fontId="5" fillId="0" borderId="0" xfId="0" applyFont="1" applyAlignment="1" applyProtection="1">
      <alignment horizontal="right" vertical="center"/>
      <protection hidden="1"/>
    </xf>
    <xf numFmtId="0" fontId="0" fillId="0" borderId="0" xfId="0" applyFill="1" applyBorder="1" applyAlignment="1" applyProtection="1">
      <alignment vertical="center"/>
      <protection hidden="1"/>
    </xf>
    <xf numFmtId="0" fontId="1" fillId="0" borderId="0" xfId="0" applyFont="1" applyFill="1" applyBorder="1" applyAlignment="1" applyProtection="1">
      <alignment horizontal="left" vertical="center"/>
      <protection hidden="1"/>
    </xf>
    <xf numFmtId="165" fontId="8" fillId="2" borderId="1" xfId="0" applyNumberFormat="1" applyFont="1" applyFill="1" applyBorder="1" applyAlignment="1" applyProtection="1">
      <alignment vertical="center"/>
      <protection hidden="1"/>
    </xf>
    <xf numFmtId="0" fontId="0" fillId="0" borderId="0" xfId="0" applyFill="1" applyAlignment="1" applyProtection="1">
      <alignment vertical="center"/>
      <protection hidden="1"/>
    </xf>
    <xf numFmtId="0" fontId="5" fillId="3" borderId="2" xfId="0" applyFont="1" applyFill="1" applyBorder="1" applyAlignment="1" applyProtection="1">
      <alignment vertical="center"/>
      <protection hidden="1"/>
    </xf>
    <xf numFmtId="0" fontId="0" fillId="3" borderId="3" xfId="0" applyFill="1" applyBorder="1" applyAlignment="1" applyProtection="1">
      <alignment vertical="center"/>
      <protection hidden="1"/>
    </xf>
    <xf numFmtId="0" fontId="0" fillId="3" borderId="3" xfId="0" applyFill="1" applyBorder="1" applyAlignment="1" applyProtection="1">
      <alignment horizontal="right" vertical="center"/>
      <protection hidden="1"/>
    </xf>
    <xf numFmtId="0" fontId="0" fillId="3" borderId="4" xfId="0" applyFill="1" applyBorder="1" applyAlignment="1" applyProtection="1">
      <alignment horizontal="right" vertical="center"/>
      <protection hidden="1"/>
    </xf>
    <xf numFmtId="9" fontId="0" fillId="0" borderId="0" xfId="0" applyNumberFormat="1" applyBorder="1" applyAlignment="1" applyProtection="1">
      <alignment horizontal="right" vertical="center"/>
      <protection hidden="1"/>
    </xf>
    <xf numFmtId="0" fontId="0" fillId="0" borderId="6" xfId="0" applyBorder="1" applyAlignment="1" applyProtection="1">
      <alignment horizontal="right" vertical="center"/>
      <protection hidden="1"/>
    </xf>
    <xf numFmtId="8" fontId="0" fillId="0" borderId="0" xfId="0" applyNumberFormat="1" applyBorder="1" applyAlignment="1" applyProtection="1">
      <alignment horizontal="right" vertical="center"/>
      <protection hidden="1"/>
    </xf>
    <xf numFmtId="8" fontId="0" fillId="0" borderId="6" xfId="0" applyNumberFormat="1" applyBorder="1" applyAlignment="1" applyProtection="1">
      <alignment horizontal="right" vertical="center"/>
      <protection hidden="1"/>
    </xf>
    <xf numFmtId="8" fontId="0" fillId="0" borderId="8" xfId="0" applyNumberFormat="1" applyBorder="1" applyAlignment="1" applyProtection="1">
      <alignment horizontal="right" vertical="center"/>
      <protection hidden="1"/>
    </xf>
    <xf numFmtId="0" fontId="0" fillId="0" borderId="0" xfId="0" applyFill="1" applyAlignment="1" applyProtection="1">
      <alignment horizontal="left" vertical="center"/>
      <protection hidden="1"/>
    </xf>
    <xf numFmtId="8" fontId="0" fillId="0" borderId="0" xfId="0" applyNumberFormat="1" applyFill="1" applyAlignment="1" applyProtection="1">
      <alignment horizontal="right" vertical="center"/>
      <protection hidden="1"/>
    </xf>
    <xf numFmtId="0" fontId="0" fillId="0" borderId="5" xfId="0" applyBorder="1" applyAlignment="1" applyProtection="1">
      <alignment horizontal="left" vertical="center" indent="1"/>
      <protection hidden="1"/>
    </xf>
    <xf numFmtId="0" fontId="0" fillId="0" borderId="9" xfId="0" applyBorder="1" applyAlignment="1" applyProtection="1">
      <alignment horizontal="left" vertical="center" indent="1"/>
      <protection hidden="1"/>
    </xf>
    <xf numFmtId="0" fontId="13" fillId="0" borderId="12" xfId="0" applyFont="1" applyFill="1" applyBorder="1" applyAlignment="1" applyProtection="1">
      <alignment horizontal="left" vertical="center"/>
      <protection hidden="1"/>
    </xf>
    <xf numFmtId="8" fontId="13" fillId="0" borderId="10" xfId="0" applyNumberFormat="1" applyFont="1" applyFill="1" applyBorder="1" applyAlignment="1" applyProtection="1">
      <alignment horizontal="right" vertical="center"/>
      <protection hidden="1"/>
    </xf>
    <xf numFmtId="0" fontId="13" fillId="0" borderId="5" xfId="0" applyFont="1" applyFill="1" applyBorder="1" applyAlignment="1" applyProtection="1">
      <alignment vertical="center"/>
      <protection hidden="1"/>
    </xf>
    <xf numFmtId="0" fontId="13" fillId="0" borderId="0" xfId="0" applyFont="1" applyFill="1" applyBorder="1" applyAlignment="1" applyProtection="1">
      <alignment horizontal="right" vertical="center"/>
      <protection hidden="1"/>
    </xf>
    <xf numFmtId="0" fontId="13" fillId="0" borderId="6" xfId="0" applyFont="1" applyFill="1" applyBorder="1" applyAlignment="1" applyProtection="1">
      <alignment horizontal="right" vertical="center"/>
      <protection hidden="1"/>
    </xf>
    <xf numFmtId="0" fontId="13" fillId="0" borderId="10" xfId="0" applyFont="1" applyFill="1" applyBorder="1" applyAlignment="1" applyProtection="1">
      <alignment horizontal="right" vertical="center"/>
      <protection hidden="1"/>
    </xf>
    <xf numFmtId="165" fontId="0" fillId="0" borderId="0" xfId="0" applyNumberFormat="1" applyFill="1" applyBorder="1" applyAlignment="1" applyProtection="1">
      <alignment vertical="center"/>
      <protection hidden="1"/>
    </xf>
    <xf numFmtId="8" fontId="0" fillId="0" borderId="0" xfId="0" applyNumberFormat="1" applyFill="1" applyBorder="1" applyAlignment="1" applyProtection="1">
      <alignment vertical="center"/>
      <protection hidden="1"/>
    </xf>
    <xf numFmtId="165" fontId="0" fillId="0" borderId="7" xfId="0" applyNumberFormat="1" applyFill="1" applyBorder="1" applyAlignment="1" applyProtection="1">
      <alignment vertical="center"/>
      <protection hidden="1"/>
    </xf>
    <xf numFmtId="0" fontId="13" fillId="0" borderId="5" xfId="0" applyFont="1" applyBorder="1" applyAlignment="1" applyProtection="1">
      <alignment vertical="center"/>
      <protection hidden="1"/>
    </xf>
    <xf numFmtId="0" fontId="13" fillId="0" borderId="0" xfId="0" applyFont="1" applyBorder="1" applyAlignment="1" applyProtection="1">
      <alignment horizontal="right" vertical="center"/>
      <protection hidden="1"/>
    </xf>
    <xf numFmtId="0" fontId="13" fillId="0" borderId="6" xfId="0" applyFont="1" applyBorder="1" applyAlignment="1" applyProtection="1">
      <alignment horizontal="right" vertical="center"/>
      <protection hidden="1"/>
    </xf>
    <xf numFmtId="0" fontId="0" fillId="0" borderId="13" xfId="0" applyBorder="1" applyAlignment="1" applyProtection="1">
      <alignment horizontal="left" vertical="center" indent="1"/>
      <protection hidden="1"/>
    </xf>
    <xf numFmtId="0" fontId="0" fillId="0" borderId="14" xfId="0" applyBorder="1" applyAlignment="1" applyProtection="1">
      <alignment horizontal="left" vertical="center" indent="1"/>
      <protection hidden="1"/>
    </xf>
    <xf numFmtId="8" fontId="13" fillId="0" borderId="11" xfId="0" applyNumberFormat="1" applyFont="1" applyBorder="1" applyAlignment="1" applyProtection="1">
      <alignment horizontal="right" vertical="center"/>
      <protection hidden="1"/>
    </xf>
    <xf numFmtId="0" fontId="2" fillId="0" borderId="0" xfId="0" applyFont="1" applyFill="1" applyBorder="1" applyAlignment="1" applyProtection="1">
      <alignment horizontal="right" vertical="center"/>
      <protection hidden="1"/>
    </xf>
    <xf numFmtId="0" fontId="2" fillId="0" borderId="0" xfId="0" applyFont="1" applyAlignment="1" applyProtection="1">
      <alignment vertical="center"/>
      <protection hidden="1"/>
    </xf>
    <xf numFmtId="164" fontId="3" fillId="4" borderId="1" xfId="0" applyNumberFormat="1" applyFont="1" applyFill="1" applyBorder="1" applyAlignment="1" applyProtection="1">
      <alignment horizontal="right" vertical="center"/>
      <protection locked="0" hidden="1"/>
    </xf>
    <xf numFmtId="8" fontId="3" fillId="4" borderId="1" xfId="0" applyNumberFormat="1" applyFont="1" applyFill="1" applyBorder="1" applyAlignment="1" applyProtection="1">
      <alignment vertical="center"/>
      <protection locked="0" hidden="1"/>
    </xf>
    <xf numFmtId="0" fontId="0" fillId="4" borderId="14" xfId="0" applyFill="1" applyBorder="1" applyAlignment="1" applyProtection="1">
      <alignment vertical="center"/>
      <protection locked="0" hidden="1"/>
    </xf>
    <xf numFmtId="0" fontId="0" fillId="4" borderId="1" xfId="0" applyFill="1" applyBorder="1" applyAlignment="1" applyProtection="1">
      <alignment vertical="center"/>
      <protection locked="0" hidden="1"/>
    </xf>
    <xf numFmtId="165" fontId="0" fillId="4" borderId="1" xfId="0" applyNumberFormat="1" applyFill="1" applyBorder="1" applyAlignment="1" applyProtection="1">
      <alignment vertical="center"/>
      <protection locked="0" hidden="1"/>
    </xf>
    <xf numFmtId="0" fontId="6" fillId="5" borderId="15" xfId="0" applyFont="1" applyFill="1" applyBorder="1" applyAlignment="1" applyProtection="1">
      <alignment vertical="center"/>
      <protection hidden="1"/>
    </xf>
    <xf numFmtId="0" fontId="0" fillId="5" borderId="15" xfId="0" applyFont="1" applyFill="1" applyBorder="1" applyAlignment="1" applyProtection="1">
      <alignment vertical="center"/>
      <protection hidden="1"/>
    </xf>
    <xf numFmtId="0" fontId="7" fillId="5" borderId="15" xfId="0" applyFont="1" applyFill="1" applyBorder="1" applyAlignment="1" applyProtection="1">
      <alignment horizontal="right" vertical="center"/>
      <protection hidden="1"/>
    </xf>
    <xf numFmtId="0" fontId="1" fillId="5" borderId="0" xfId="0" applyFont="1" applyFill="1" applyBorder="1" applyAlignment="1" applyProtection="1">
      <alignment vertical="center"/>
      <protection hidden="1"/>
    </xf>
    <xf numFmtId="0" fontId="1" fillId="5" borderId="15" xfId="0" applyFont="1" applyFill="1" applyBorder="1" applyAlignment="1" applyProtection="1">
      <alignment vertical="center"/>
      <protection hidden="1"/>
    </xf>
    <xf numFmtId="165" fontId="1" fillId="5" borderId="15" xfId="0" applyNumberFormat="1" applyFont="1" applyFill="1" applyBorder="1" applyAlignment="1" applyProtection="1">
      <alignment vertical="center"/>
      <protection hidden="1"/>
    </xf>
    <xf numFmtId="0" fontId="1" fillId="5" borderId="15" xfId="0" applyFont="1" applyFill="1" applyBorder="1" applyAlignment="1" applyProtection="1">
      <alignment horizontal="right" vertical="center"/>
      <protection hidden="1"/>
    </xf>
    <xf numFmtId="0" fontId="15" fillId="5" borderId="15" xfId="0" applyFont="1" applyFill="1" applyBorder="1" applyAlignment="1" applyProtection="1">
      <alignment horizontal="right" vertical="center"/>
      <protection hidden="1"/>
    </xf>
    <xf numFmtId="0" fontId="2" fillId="5" borderId="0" xfId="0" applyFont="1" applyFill="1" applyBorder="1" applyAlignment="1" applyProtection="1">
      <alignment vertical="center"/>
      <protection hidden="1"/>
    </xf>
    <xf numFmtId="0" fontId="11" fillId="5" borderId="0" xfId="0" applyFont="1" applyFill="1" applyBorder="1" applyAlignment="1" applyProtection="1">
      <alignment horizontal="right" vertical="center"/>
      <protection hidden="1"/>
    </xf>
    <xf numFmtId="0" fontId="17" fillId="5" borderId="0" xfId="1" applyFont="1" applyFill="1" applyBorder="1" applyAlignment="1" applyProtection="1">
      <alignment horizontal="left" vertical="center"/>
      <protection hidden="1"/>
    </xf>
    <xf numFmtId="0" fontId="2" fillId="5" borderId="0" xfId="0" applyFont="1" applyFill="1" applyBorder="1" applyAlignment="1" applyProtection="1">
      <alignment horizontal="left" vertical="center"/>
      <protection hidden="1"/>
    </xf>
    <xf numFmtId="0" fontId="2" fillId="5" borderId="0" xfId="0" applyFont="1" applyFill="1" applyBorder="1" applyAlignment="1" applyProtection="1">
      <alignment horizontal="right" vertical="center"/>
      <protection hidden="1"/>
    </xf>
    <xf numFmtId="0" fontId="5" fillId="0" borderId="1" xfId="0" applyFont="1" applyBorder="1" applyAlignment="1">
      <alignment horizontal="center" vertical="center"/>
    </xf>
    <xf numFmtId="165" fontId="5" fillId="0" borderId="1" xfId="0" applyNumberFormat="1" applyFont="1" applyBorder="1" applyAlignment="1">
      <alignment horizontal="center" vertical="center"/>
    </xf>
    <xf numFmtId="0" fontId="5" fillId="0" borderId="0" xfId="0" applyFont="1" applyAlignment="1">
      <alignment horizontal="center" vertical="center"/>
    </xf>
    <xf numFmtId="0" fontId="0" fillId="0" borderId="1" xfId="0" applyBorder="1" applyAlignment="1">
      <alignment vertical="center"/>
    </xf>
    <xf numFmtId="165" fontId="0" fillId="6" borderId="1" xfId="0" applyNumberFormat="1" applyFill="1" applyBorder="1" applyAlignment="1">
      <alignment vertical="center"/>
    </xf>
    <xf numFmtId="0" fontId="0" fillId="0" borderId="0" xfId="0" applyAlignment="1">
      <alignment vertical="center"/>
    </xf>
    <xf numFmtId="165" fontId="0" fillId="0" borderId="0" xfId="0" applyNumberFormat="1" applyAlignment="1">
      <alignment vertical="center"/>
    </xf>
    <xf numFmtId="0" fontId="5" fillId="0" borderId="0" xfId="0" applyFont="1" applyAlignment="1">
      <alignment vertical="center"/>
    </xf>
    <xf numFmtId="165" fontId="5" fillId="0" borderId="0" xfId="0" applyNumberFormat="1" applyFont="1" applyAlignment="1">
      <alignment vertical="center"/>
    </xf>
    <xf numFmtId="0" fontId="18" fillId="0" borderId="0" xfId="0" applyFont="1" applyAlignment="1">
      <alignment vertical="center"/>
    </xf>
    <xf numFmtId="8" fontId="3" fillId="7" borderId="1" xfId="0" applyNumberFormat="1" applyFont="1" applyFill="1" applyBorder="1" applyAlignment="1" applyProtection="1">
      <alignment horizontal="right" vertical="center"/>
      <protection locked="0" hidden="1"/>
    </xf>
    <xf numFmtId="0" fontId="12" fillId="0" borderId="3" xfId="0" applyFont="1" applyFill="1" applyBorder="1" applyAlignment="1" applyProtection="1">
      <alignment vertical="center"/>
      <protection hidden="1"/>
    </xf>
    <xf numFmtId="0" fontId="12" fillId="0" borderId="0" xfId="0" applyFont="1" applyBorder="1" applyAlignment="1" applyProtection="1">
      <alignment vertical="center"/>
      <protection hidden="1"/>
    </xf>
    <xf numFmtId="0" fontId="12" fillId="0" borderId="3" xfId="0" applyFont="1" applyBorder="1" applyAlignment="1" applyProtection="1">
      <alignment vertical="center"/>
      <protection hidden="1"/>
    </xf>
    <xf numFmtId="0" fontId="12" fillId="0" borderId="0" xfId="0" applyFont="1" applyAlignment="1" applyProtection="1">
      <alignment horizontal="left" vertical="center" indent="1"/>
      <protection hidden="1"/>
    </xf>
    <xf numFmtId="0" fontId="0" fillId="0" borderId="0" xfId="0" applyAlignment="1" applyProtection="1">
      <alignment vertical="center" wrapText="1"/>
      <protection hidden="1"/>
    </xf>
    <xf numFmtId="0" fontId="0" fillId="0" borderId="0" xfId="0" applyAlignment="1">
      <alignment vertical="center" wrapText="1"/>
    </xf>
    <xf numFmtId="0" fontId="20" fillId="8" borderId="0" xfId="0" applyFont="1" applyFill="1" applyBorder="1" applyAlignment="1">
      <alignment horizontal="center" vertical="center" wrapText="1"/>
    </xf>
    <xf numFmtId="0" fontId="10" fillId="8" borderId="0" xfId="1" applyFill="1" applyBorder="1" applyAlignment="1" applyProtection="1">
      <alignment horizontal="left" vertical="center" wrapText="1"/>
    </xf>
    <xf numFmtId="0" fontId="21" fillId="8" borderId="0" xfId="0" applyFont="1" applyFill="1" applyBorder="1" applyAlignment="1">
      <alignment horizontal="left" vertical="center" wrapText="1"/>
    </xf>
    <xf numFmtId="0" fontId="0" fillId="0" borderId="0" xfId="0" applyAlignment="1" applyProtection="1">
      <alignment horizontal="right" vertical="center" wrapText="1"/>
      <protection hidden="1"/>
    </xf>
    <xf numFmtId="0" fontId="0" fillId="0" borderId="0" xfId="0" applyFill="1" applyBorder="1" applyAlignment="1" applyProtection="1">
      <alignment vertical="center" wrapText="1"/>
      <protection hidden="1"/>
    </xf>
    <xf numFmtId="3" fontId="0" fillId="4" borderId="1" xfId="0" applyNumberFormat="1" applyFill="1" applyBorder="1" applyAlignment="1" applyProtection="1">
      <alignment vertical="center" wrapText="1"/>
      <protection locked="0"/>
    </xf>
    <xf numFmtId="165" fontId="0" fillId="4" borderId="1" xfId="0" applyNumberFormat="1" applyFill="1" applyBorder="1" applyAlignment="1" applyProtection="1">
      <alignment vertical="center" wrapText="1"/>
      <protection locked="0"/>
    </xf>
    <xf numFmtId="0" fontId="10" fillId="9" borderId="16" xfId="1" applyFill="1" applyBorder="1" applyAlignment="1" applyProtection="1">
      <alignment horizontal="left" vertical="top" wrapText="1"/>
    </xf>
    <xf numFmtId="0" fontId="10" fillId="0" borderId="0" xfId="1" applyAlignment="1" applyProtection="1">
      <alignment vertical="center" wrapText="1"/>
    </xf>
    <xf numFmtId="0" fontId="23" fillId="9" borderId="16" xfId="0" applyFont="1" applyFill="1" applyBorder="1" applyAlignment="1">
      <alignment horizontal="left" vertical="top" wrapText="1"/>
    </xf>
    <xf numFmtId="0" fontId="23" fillId="9" borderId="17" xfId="0" applyFont="1" applyFill="1" applyBorder="1" applyAlignment="1">
      <alignment horizontal="left" vertical="top" wrapText="1"/>
    </xf>
    <xf numFmtId="0" fontId="23" fillId="11" borderId="16" xfId="0" applyFont="1" applyFill="1" applyBorder="1" applyAlignment="1">
      <alignment horizontal="left" vertical="top" wrapText="1"/>
    </xf>
    <xf numFmtId="0" fontId="23" fillId="11" borderId="18" xfId="0" applyFont="1" applyFill="1" applyBorder="1" applyAlignment="1">
      <alignment horizontal="left" vertical="top" wrapText="1"/>
    </xf>
    <xf numFmtId="0" fontId="23" fillId="11" borderId="17" xfId="0" applyFont="1" applyFill="1" applyBorder="1" applyAlignment="1">
      <alignment horizontal="left" vertical="top" wrapText="1"/>
    </xf>
    <xf numFmtId="0" fontId="23" fillId="9" borderId="18" xfId="0" applyFont="1" applyFill="1" applyBorder="1" applyAlignment="1">
      <alignment horizontal="left" vertical="top" wrapText="1"/>
    </xf>
    <xf numFmtId="6" fontId="0" fillId="0" borderId="0" xfId="0" applyNumberFormat="1" applyAlignment="1" applyProtection="1">
      <alignment vertical="center"/>
      <protection hidden="1"/>
    </xf>
    <xf numFmtId="0" fontId="22" fillId="10" borderId="16" xfId="0" applyFont="1" applyFill="1" applyBorder="1" applyAlignment="1">
      <alignment horizontal="left" vertical="top" wrapText="1"/>
    </xf>
    <xf numFmtId="0" fontId="22" fillId="10" borderId="21" xfId="0" applyFont="1" applyFill="1" applyBorder="1" applyAlignment="1">
      <alignment horizontal="left" vertical="top" wrapText="1"/>
    </xf>
    <xf numFmtId="0" fontId="22" fillId="0" borderId="0" xfId="0" applyFont="1" applyFill="1" applyBorder="1" applyAlignment="1">
      <alignment horizontal="left" vertical="top" wrapText="1"/>
    </xf>
    <xf numFmtId="0" fontId="23" fillId="0" borderId="0" xfId="0" applyFont="1" applyFill="1" applyBorder="1" applyAlignment="1">
      <alignment horizontal="left" vertical="top" wrapText="1"/>
    </xf>
    <xf numFmtId="6" fontId="23" fillId="0" borderId="0" xfId="0" applyNumberFormat="1" applyFont="1" applyFill="1" applyBorder="1" applyAlignment="1">
      <alignment horizontal="left" vertical="top" wrapText="1"/>
    </xf>
    <xf numFmtId="0" fontId="23" fillId="9" borderId="21" xfId="0" applyFont="1" applyFill="1" applyBorder="1" applyAlignment="1">
      <alignment horizontal="left" vertical="top" wrapText="1"/>
    </xf>
    <xf numFmtId="0" fontId="23" fillId="9" borderId="20" xfId="0" applyFont="1" applyFill="1" applyBorder="1" applyAlignment="1">
      <alignment horizontal="left" vertical="top" wrapText="1"/>
    </xf>
    <xf numFmtId="0" fontId="23" fillId="11" borderId="21" xfId="0" applyFont="1" applyFill="1" applyBorder="1" applyAlignment="1">
      <alignment horizontal="left" vertical="top" wrapText="1"/>
    </xf>
    <xf numFmtId="0" fontId="23" fillId="11" borderId="19" xfId="0" applyFont="1" applyFill="1" applyBorder="1" applyAlignment="1">
      <alignment horizontal="left" vertical="top" wrapText="1"/>
    </xf>
    <xf numFmtId="0" fontId="23" fillId="11" borderId="20" xfId="0" applyFont="1" applyFill="1" applyBorder="1" applyAlignment="1">
      <alignment horizontal="left" vertical="top" wrapText="1"/>
    </xf>
    <xf numFmtId="0" fontId="23" fillId="9" borderId="19" xfId="0" applyFont="1" applyFill="1" applyBorder="1" applyAlignment="1">
      <alignment horizontal="left" vertical="top" wrapText="1"/>
    </xf>
    <xf numFmtId="1" fontId="0" fillId="6" borderId="1" xfId="0" applyNumberFormat="1" applyFill="1" applyBorder="1" applyAlignment="1">
      <alignment vertical="center"/>
    </xf>
    <xf numFmtId="9" fontId="0" fillId="0" borderId="0" xfId="0" applyNumberFormat="1" applyAlignment="1">
      <alignment vertical="center"/>
    </xf>
    <xf numFmtId="9" fontId="5" fillId="0" borderId="0" xfId="0" applyNumberFormat="1" applyFont="1" applyAlignment="1">
      <alignment vertical="center"/>
    </xf>
    <xf numFmtId="0" fontId="0" fillId="0" borderId="0" xfId="0" applyFill="1" applyBorder="1" applyAlignment="1" applyProtection="1">
      <alignment vertical="center"/>
      <protection locked="0"/>
    </xf>
    <xf numFmtId="0" fontId="0" fillId="0" borderId="0" xfId="0" applyFill="1" applyBorder="1" applyAlignment="1" applyProtection="1">
      <alignment horizontal="left" vertical="center"/>
      <protection hidden="1"/>
    </xf>
    <xf numFmtId="0" fontId="0" fillId="0" borderId="0" xfId="0" applyBorder="1" applyAlignment="1"/>
    <xf numFmtId="9" fontId="1" fillId="0" borderId="1" xfId="0" applyNumberFormat="1" applyFont="1" applyFill="1" applyBorder="1" applyAlignment="1" applyProtection="1">
      <alignment vertical="center"/>
    </xf>
    <xf numFmtId="3" fontId="0" fillId="0" borderId="0" xfId="0" applyNumberFormat="1" applyAlignment="1" applyProtection="1">
      <alignment horizontal="right" vertical="center"/>
      <protection hidden="1"/>
    </xf>
    <xf numFmtId="0" fontId="9" fillId="5" borderId="0" xfId="1" applyFont="1" applyFill="1" applyBorder="1" applyAlignment="1" applyProtection="1">
      <alignment vertical="center"/>
      <protection hidden="1"/>
    </xf>
    <xf numFmtId="0" fontId="24" fillId="0" borderId="0" xfId="0" applyFont="1" applyAlignment="1">
      <alignment vertical="center"/>
    </xf>
    <xf numFmtId="0" fontId="24" fillId="0" borderId="0" xfId="0" applyFont="1" applyAlignment="1">
      <alignment horizontal="right" vertical="center"/>
    </xf>
    <xf numFmtId="165" fontId="24" fillId="0" borderId="0" xfId="0" applyNumberFormat="1" applyFont="1" applyAlignment="1">
      <alignment horizontal="right" vertical="center"/>
    </xf>
    <xf numFmtId="165" fontId="0" fillId="4" borderId="14" xfId="0" applyNumberFormat="1" applyFill="1" applyBorder="1" applyAlignment="1" applyProtection="1">
      <alignment vertical="center"/>
      <protection locked="0" hidden="1"/>
    </xf>
    <xf numFmtId="165" fontId="0" fillId="0" borderId="14" xfId="0" applyNumberFormat="1" applyFill="1" applyBorder="1" applyAlignment="1" applyProtection="1">
      <alignment vertical="center"/>
      <protection hidden="1"/>
    </xf>
    <xf numFmtId="9" fontId="0" fillId="0" borderId="6" xfId="0" applyNumberFormat="1" applyBorder="1" applyAlignment="1" applyProtection="1">
      <alignment horizontal="right" vertical="center"/>
      <protection hidden="1"/>
    </xf>
    <xf numFmtId="0" fontId="0" fillId="3" borderId="0" xfId="0" applyFill="1" applyBorder="1" applyAlignment="1" applyProtection="1">
      <alignment horizontal="right" vertical="center"/>
      <protection hidden="1"/>
    </xf>
    <xf numFmtId="0" fontId="0" fillId="0" borderId="0" xfId="0" applyBorder="1" applyAlignment="1" applyProtection="1">
      <alignment horizontal="right" vertical="center"/>
      <protection hidden="1"/>
    </xf>
    <xf numFmtId="0" fontId="1" fillId="0" borderId="0" xfId="0" applyFont="1" applyBorder="1" applyAlignment="1">
      <alignment horizontal="right" vertical="center" wrapText="1"/>
    </xf>
    <xf numFmtId="8" fontId="13" fillId="0" borderId="0" xfId="0" applyNumberFormat="1" applyFont="1" applyBorder="1" applyAlignment="1" applyProtection="1">
      <alignment horizontal="right" vertical="center"/>
      <protection hidden="1"/>
    </xf>
    <xf numFmtId="0" fontId="0" fillId="0" borderId="0" xfId="0" applyBorder="1" applyAlignment="1">
      <alignment horizontal="right" vertical="center" wrapText="1"/>
    </xf>
    <xf numFmtId="0" fontId="0" fillId="0" borderId="0" xfId="0" applyBorder="1" applyAlignment="1" applyProtection="1">
      <alignment horizontal="left" vertical="center" wrapText="1"/>
      <protection locked="0"/>
    </xf>
    <xf numFmtId="165" fontId="0" fillId="0" borderId="1" xfId="0" applyNumberFormat="1" applyFill="1" applyBorder="1" applyAlignment="1" applyProtection="1">
      <alignment vertical="center"/>
      <protection hidden="1"/>
    </xf>
    <xf numFmtId="9" fontId="0" fillId="0" borderId="5" xfId="0" applyNumberFormat="1" applyFont="1" applyFill="1" applyBorder="1" applyAlignment="1" applyProtection="1">
      <alignment horizontal="right" vertical="center"/>
      <protection hidden="1"/>
    </xf>
    <xf numFmtId="0" fontId="1" fillId="0" borderId="6" xfId="0" applyFont="1" applyBorder="1" applyAlignment="1">
      <alignment horizontal="right" vertical="center"/>
    </xf>
    <xf numFmtId="3" fontId="0" fillId="0" borderId="14" xfId="0" applyNumberFormat="1" applyFill="1" applyBorder="1" applyAlignment="1" applyProtection="1">
      <alignment vertical="center"/>
      <protection hidden="1"/>
    </xf>
    <xf numFmtId="3" fontId="0" fillId="4" borderId="14" xfId="0" applyNumberFormat="1" applyFill="1" applyBorder="1" applyAlignment="1" applyProtection="1">
      <alignment vertical="center"/>
      <protection locked="0" hidden="1"/>
    </xf>
    <xf numFmtId="3" fontId="0" fillId="0" borderId="1" xfId="0" applyNumberFormat="1" applyFill="1" applyBorder="1" applyAlignment="1" applyProtection="1">
      <alignment vertical="center"/>
      <protection hidden="1"/>
    </xf>
    <xf numFmtId="3" fontId="0" fillId="4" borderId="1" xfId="0" applyNumberFormat="1" applyFill="1" applyBorder="1" applyAlignment="1" applyProtection="1">
      <alignment vertical="center"/>
      <protection locked="0" hidden="1"/>
    </xf>
    <xf numFmtId="0" fontId="0" fillId="0" borderId="1" xfId="0" applyFill="1" applyBorder="1" applyAlignment="1" applyProtection="1">
      <alignment vertical="center"/>
      <protection hidden="1"/>
    </xf>
    <xf numFmtId="8" fontId="0" fillId="0" borderId="6" xfId="0" applyNumberFormat="1" applyBorder="1" applyAlignment="1" applyProtection="1">
      <alignment horizontal="right" vertical="center"/>
      <protection locked="0" hidden="1"/>
    </xf>
    <xf numFmtId="165" fontId="0" fillId="0" borderId="6" xfId="0" applyNumberFormat="1" applyBorder="1" applyAlignment="1" applyProtection="1">
      <alignment horizontal="right" vertical="center"/>
      <protection hidden="1"/>
    </xf>
    <xf numFmtId="0" fontId="25" fillId="0" borderId="0" xfId="0" applyFont="1" applyAlignment="1" applyProtection="1">
      <alignment horizontal="left" vertical="center" indent="1"/>
      <protection hidden="1"/>
    </xf>
    <xf numFmtId="9" fontId="0" fillId="12" borderId="0" xfId="0" applyNumberFormat="1" applyFill="1" applyAlignment="1" applyProtection="1">
      <alignment vertical="center"/>
      <protection locked="0"/>
    </xf>
    <xf numFmtId="0" fontId="0" fillId="12" borderId="0" xfId="0" applyFill="1" applyAlignment="1" applyProtection="1">
      <alignment vertical="center"/>
      <protection locked="0"/>
    </xf>
    <xf numFmtId="8" fontId="0" fillId="12" borderId="0" xfId="0" applyNumberFormat="1" applyFill="1" applyAlignment="1" applyProtection="1">
      <alignment vertical="center"/>
      <protection locked="0"/>
    </xf>
    <xf numFmtId="165" fontId="0" fillId="12" borderId="0" xfId="0" applyNumberFormat="1" applyFill="1" applyAlignment="1" applyProtection="1">
      <alignment vertical="center"/>
      <protection locked="0"/>
    </xf>
    <xf numFmtId="0" fontId="0" fillId="0" borderId="0" xfId="0" applyProtection="1">
      <protection hidden="1"/>
    </xf>
    <xf numFmtId="8" fontId="0" fillId="0" borderId="0" xfId="0" applyNumberFormat="1" applyProtection="1">
      <protection hidden="1"/>
    </xf>
    <xf numFmtId="0" fontId="0" fillId="5" borderId="0" xfId="0" applyFill="1" applyProtection="1">
      <protection hidden="1"/>
    </xf>
    <xf numFmtId="0" fontId="0" fillId="0" borderId="0" xfId="0" applyBorder="1" applyProtection="1">
      <protection hidden="1"/>
    </xf>
    <xf numFmtId="0" fontId="0" fillId="0" borderId="0" xfId="0" applyFill="1" applyBorder="1" applyAlignment="1" applyProtection="1">
      <alignment wrapText="1"/>
      <protection hidden="1"/>
    </xf>
    <xf numFmtId="0" fontId="0" fillId="0" borderId="0" xfId="0" applyBorder="1" applyAlignment="1" applyProtection="1">
      <protection hidden="1"/>
    </xf>
    <xf numFmtId="0" fontId="26" fillId="0" borderId="0" xfId="0" applyFont="1" applyBorder="1" applyAlignment="1" applyProtection="1">
      <protection hidden="1"/>
    </xf>
    <xf numFmtId="0" fontId="2" fillId="0" borderId="0" xfId="0" applyFont="1" applyBorder="1" applyAlignment="1" applyProtection="1">
      <protection hidden="1"/>
    </xf>
    <xf numFmtId="0" fontId="26" fillId="0" borderId="0" xfId="0" applyFont="1" applyBorder="1" applyAlignment="1" applyProtection="1">
      <alignment vertical="top"/>
      <protection hidden="1"/>
    </xf>
    <xf numFmtId="165" fontId="27" fillId="0" borderId="0" xfId="1" applyNumberFormat="1" applyFont="1" applyBorder="1" applyAlignment="1" applyProtection="1">
      <alignment horizontal="right" vertical="center"/>
      <protection hidden="1"/>
    </xf>
    <xf numFmtId="165" fontId="9" fillId="0" borderId="0" xfId="1" applyNumberFormat="1" applyFont="1" applyBorder="1" applyAlignment="1" applyProtection="1">
      <alignment horizontal="left" vertical="center"/>
      <protection hidden="1"/>
    </xf>
    <xf numFmtId="0" fontId="0" fillId="5" borderId="0" xfId="0" applyFont="1" applyFill="1" applyAlignment="1" applyProtection="1">
      <alignment vertical="center"/>
      <protection hidden="1"/>
    </xf>
    <xf numFmtId="0" fontId="7" fillId="5" borderId="0" xfId="0" applyFont="1" applyFill="1" applyBorder="1" applyAlignment="1" applyProtection="1">
      <alignment horizontal="right" vertical="center"/>
      <protection hidden="1"/>
    </xf>
    <xf numFmtId="0" fontId="0" fillId="5" borderId="15" xfId="0" applyFont="1" applyFill="1" applyBorder="1" applyAlignment="1" applyProtection="1">
      <alignment horizontal="right" vertical="center"/>
      <protection hidden="1"/>
    </xf>
    <xf numFmtId="165" fontId="0" fillId="5" borderId="15" xfId="0" applyNumberFormat="1" applyFont="1" applyFill="1" applyBorder="1" applyAlignment="1" applyProtection="1">
      <alignment vertical="center"/>
      <protection hidden="1"/>
    </xf>
    <xf numFmtId="165" fontId="1" fillId="0" borderId="0" xfId="0" applyNumberFormat="1" applyFont="1" applyBorder="1" applyAlignment="1" applyProtection="1">
      <alignment vertical="center"/>
      <protection hidden="1"/>
    </xf>
    <xf numFmtId="0" fontId="1" fillId="0" borderId="0" xfId="0" applyFont="1" applyBorder="1" applyAlignment="1" applyProtection="1">
      <alignment vertical="center"/>
      <protection hidden="1"/>
    </xf>
    <xf numFmtId="0" fontId="0" fillId="5" borderId="0" xfId="0" applyFill="1" applyAlignment="1" applyProtection="1">
      <alignment vertical="center"/>
      <protection hidden="1"/>
    </xf>
    <xf numFmtId="0" fontId="0" fillId="0" borderId="0" xfId="0" applyFont="1" applyAlignment="1" applyProtection="1">
      <alignment horizontal="left" vertical="center" indent="1"/>
      <protection hidden="1"/>
    </xf>
    <xf numFmtId="0" fontId="9" fillId="5" borderId="0" xfId="1" applyFont="1" applyFill="1" applyBorder="1" applyAlignment="1" applyProtection="1">
      <alignment vertical="center" wrapText="1"/>
      <protection hidden="1"/>
    </xf>
    <xf numFmtId="0" fontId="11" fillId="5" borderId="0" xfId="0" applyFont="1" applyFill="1" applyBorder="1" applyAlignment="1" applyProtection="1">
      <alignment vertical="center" wrapText="1"/>
      <protection hidden="1"/>
    </xf>
    <xf numFmtId="0" fontId="2" fillId="5" borderId="0" xfId="0" applyFont="1" applyFill="1" applyBorder="1" applyAlignment="1" applyProtection="1">
      <alignment horizontal="right" vertical="center" wrapText="1"/>
      <protection hidden="1"/>
    </xf>
    <xf numFmtId="9" fontId="0" fillId="0" borderId="5" xfId="0" applyNumberFormat="1" applyFont="1" applyFill="1" applyBorder="1" applyAlignment="1" applyProtection="1">
      <alignment horizontal="right" vertical="center" wrapText="1"/>
      <protection hidden="1"/>
    </xf>
    <xf numFmtId="0" fontId="1" fillId="0" borderId="6" xfId="0" applyFont="1" applyBorder="1" applyAlignment="1">
      <alignment horizontal="right" vertical="center" wrapText="1"/>
    </xf>
    <xf numFmtId="9" fontId="0" fillId="0" borderId="5" xfId="0" applyNumberFormat="1" applyBorder="1" applyAlignment="1" applyProtection="1">
      <alignment horizontal="right" vertical="center" wrapText="1"/>
      <protection hidden="1"/>
    </xf>
    <xf numFmtId="0" fontId="0" fillId="0" borderId="6" xfId="0" applyBorder="1" applyAlignment="1">
      <alignment horizontal="right" vertical="center" wrapText="1"/>
    </xf>
    <xf numFmtId="165" fontId="0" fillId="0" borderId="5" xfId="0" applyNumberFormat="1" applyBorder="1" applyAlignment="1" applyProtection="1">
      <alignment horizontal="right" vertical="center" wrapText="1"/>
      <protection hidden="1"/>
    </xf>
    <xf numFmtId="165" fontId="0" fillId="0" borderId="6" xfId="0" applyNumberFormat="1" applyBorder="1" applyAlignment="1">
      <alignment horizontal="right" vertical="center" wrapText="1"/>
    </xf>
    <xf numFmtId="9" fontId="0" fillId="0" borderId="5" xfId="0" applyNumberFormat="1" applyFill="1" applyBorder="1" applyAlignment="1" applyProtection="1">
      <alignment horizontal="right" vertical="center" wrapText="1"/>
      <protection hidden="1"/>
    </xf>
    <xf numFmtId="0" fontId="9" fillId="5" borderId="22" xfId="1" applyFont="1" applyFill="1" applyBorder="1" applyAlignment="1" applyProtection="1">
      <alignment vertical="center"/>
      <protection hidden="1"/>
    </xf>
    <xf numFmtId="0" fontId="0" fillId="0" borderId="22" xfId="0" applyBorder="1" applyAlignment="1">
      <alignment vertical="center"/>
    </xf>
    <xf numFmtId="0" fontId="2" fillId="0" borderId="0" xfId="0" applyFont="1" applyBorder="1" applyAlignment="1" applyProtection="1">
      <alignment vertical="center" wrapText="1"/>
      <protection hidden="1"/>
    </xf>
    <xf numFmtId="0" fontId="0" fillId="0" borderId="0" xfId="0" applyAlignment="1" applyProtection="1">
      <alignment vertical="center" wrapText="1"/>
      <protection hidden="1"/>
    </xf>
    <xf numFmtId="0" fontId="2" fillId="0" borderId="0" xfId="0" applyNumberFormat="1" applyFont="1" applyBorder="1" applyAlignment="1" applyProtection="1">
      <alignment vertical="center" wrapText="1"/>
      <protection hidden="1"/>
    </xf>
    <xf numFmtId="0" fontId="0" fillId="0" borderId="0" xfId="0" applyBorder="1" applyAlignment="1" applyProtection="1">
      <alignment vertical="center" wrapText="1"/>
      <protection hidden="1"/>
    </xf>
    <xf numFmtId="0" fontId="12" fillId="0" borderId="0" xfId="0" applyFont="1" applyBorder="1" applyAlignment="1" applyProtection="1">
      <alignment vertical="center" wrapText="1"/>
      <protection hidden="1"/>
    </xf>
    <xf numFmtId="0" fontId="13" fillId="0" borderId="13" xfId="0" applyFont="1" applyFill="1" applyBorder="1" applyAlignment="1" applyProtection="1">
      <alignment vertical="center"/>
      <protection hidden="1"/>
    </xf>
  </cellXfs>
  <cellStyles count="2">
    <cellStyle name="Hyperlink" xfId="1" builtinId="8"/>
    <cellStyle name="Normal" xfId="0" builtinId="0"/>
  </cellStyles>
  <dxfs count="72">
    <dxf>
      <fill>
        <patternFill>
          <bgColor rgb="FFFF0000"/>
        </patternFill>
      </fill>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lor theme="0"/>
      </font>
      <fill>
        <patternFill>
          <bgColor theme="0"/>
        </patternFill>
      </fill>
      <border>
        <left/>
        <right/>
        <top/>
        <bottom/>
      </border>
    </dxf>
    <dxf>
      <font>
        <color theme="0"/>
      </font>
      <fill>
        <patternFill>
          <bgColor theme="0"/>
        </patternFill>
      </fill>
      <border>
        <left/>
        <right/>
        <top/>
        <bottom/>
        <vertical/>
        <horizontal/>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ndense val="0"/>
        <extend val="0"/>
        <color indexed="9"/>
      </font>
      <fill>
        <patternFill patternType="none">
          <bgColor indexed="65"/>
        </patternFill>
      </fill>
      <border>
        <left/>
        <right/>
        <top/>
        <bottom/>
      </border>
    </dxf>
    <dxf>
      <font>
        <color theme="0"/>
      </font>
      <fill>
        <patternFill>
          <bgColor theme="0"/>
        </patternFill>
      </fill>
      <border>
        <left/>
        <right/>
        <top/>
        <bottom/>
      </border>
    </dxf>
    <dxf>
      <font>
        <condense val="0"/>
        <extend val="0"/>
        <color indexed="9"/>
      </font>
      <fill>
        <patternFill patternType="none">
          <bgColor indexed="65"/>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queryTables/queryTable1.xml><?xml version="1.0" encoding="utf-8"?>
<queryTable xmlns="http://schemas.openxmlformats.org/spreadsheetml/2006/main" name="27" growShrinkType="overwriteClear" adjustColumnWidth="0" connectionId="3" autoFormatId="16" applyNumberFormats="0" applyBorderFormats="0" applyFontFormats="1" applyPatternFormats="1" applyAlignmentFormats="0" applyWidthHeightFormats="0"/>
</file>

<file path=xl/queryTables/queryTable2.xml><?xml version="1.0" encoding="utf-8"?>
<queryTable xmlns="http://schemas.openxmlformats.org/spreadsheetml/2006/main" name="7" growShrinkType="overwriteClear" fillFormulas="1" adjustColumnWidth="0" connectionId="2" autoFormatId="16" applyNumberFormats="0" applyBorderFormats="0" applyFontFormats="1" applyPatternFormats="1" applyAlignmentFormats="0" applyWidthHeightFormats="0"/>
</file>

<file path=xl/queryTables/queryTable3.xml><?xml version="1.0" encoding="utf-8"?>
<queryTable xmlns="http://schemas.openxmlformats.org/spreadsheetml/2006/main" name="20" growShrinkType="overwriteClear" fillFormulas="1" adjustColumnWidth="0" connectionId="1" autoFormatId="16"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printerSettings" Target="../printerSettings/printerSettings1.bin"/><Relationship Id="rId1" Type="http://schemas.openxmlformats.org/officeDocument/2006/relationships/hyperlink" Target="http://guides.dss.gov.au/family-assistance-guide/1/1/m/27" TargetMode="External"/><Relationship Id="rId6" Type="http://schemas.openxmlformats.org/officeDocument/2006/relationships/queryTable" Target="../queryTables/queryTable3.xml"/><Relationship Id="rId5" Type="http://schemas.openxmlformats.org/officeDocument/2006/relationships/queryTable" Target="../queryTables/queryTable2.xml"/><Relationship Id="rId4" Type="http://schemas.openxmlformats.org/officeDocument/2006/relationships/queryTable" Target="../queryTables/query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hyperlink" Target="http://www.investmentpropertycalculator.com.au/"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investmentpropertycalculator.com.au/"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278"/>
  <sheetViews>
    <sheetView showGridLines="0" tabSelected="1" workbookViewId="0">
      <pane ySplit="10" topLeftCell="A11" activePane="bottomLeft" state="frozen"/>
      <selection pane="bottomLeft"/>
    </sheetView>
  </sheetViews>
  <sheetFormatPr defaultColWidth="0" defaultRowHeight="0" customHeight="1" zeroHeight="1" x14ac:dyDescent="0.2"/>
  <cols>
    <col min="1" max="2" width="2.7109375" style="4" customWidth="1"/>
    <col min="3" max="3" width="38.7109375" style="4" customWidth="1"/>
    <col min="4" max="4" width="21.7109375" style="4" customWidth="1"/>
    <col min="5" max="6" width="16.7109375" style="10" customWidth="1"/>
    <col min="7" max="7" width="28.28515625" style="10" hidden="1" customWidth="1"/>
    <col min="8" max="8" width="9.7109375" style="4" customWidth="1"/>
    <col min="9" max="9" width="38.7109375" style="4" customWidth="1"/>
    <col min="10" max="10" width="21.7109375" style="4" customWidth="1"/>
    <col min="11" max="12" width="16.7109375" style="10" customWidth="1"/>
    <col min="13" max="13" width="28.28515625" style="10" hidden="1" customWidth="1"/>
    <col min="14" max="15" width="2.7109375" style="4" customWidth="1"/>
    <col min="16" max="21" width="9.140625" style="12" hidden="1" customWidth="1"/>
    <col min="22" max="16384" width="9.140625" style="4" hidden="1"/>
  </cols>
  <sheetData>
    <row r="1" spans="1:21" s="5" customFormat="1" ht="32.1" customHeight="1" thickBot="1" x14ac:dyDescent="0.25">
      <c r="A1" s="51" t="s">
        <v>95</v>
      </c>
      <c r="B1" s="52"/>
      <c r="C1" s="55"/>
      <c r="D1" s="56"/>
      <c r="E1" s="57"/>
      <c r="F1" s="57"/>
      <c r="G1" s="57"/>
      <c r="H1" s="57"/>
      <c r="I1" s="53"/>
      <c r="J1" s="53"/>
      <c r="K1" s="53"/>
      <c r="L1" s="53"/>
      <c r="M1" s="53"/>
      <c r="N1" s="53"/>
      <c r="O1" s="58" t="s">
        <v>27</v>
      </c>
      <c r="P1" s="3"/>
      <c r="Q1" s="3"/>
      <c r="R1" s="3"/>
      <c r="S1" s="3"/>
      <c r="T1" s="3"/>
      <c r="U1" s="3"/>
    </row>
    <row r="2" spans="1:21" s="45" customFormat="1" ht="15.95" customHeight="1" x14ac:dyDescent="0.2">
      <c r="A2" s="59"/>
      <c r="B2" s="163" t="s">
        <v>7</v>
      </c>
      <c r="C2" s="164"/>
      <c r="D2" s="164"/>
      <c r="E2" s="60"/>
      <c r="F2" s="61"/>
      <c r="G2" s="61"/>
      <c r="H2" s="62"/>
      <c r="I2" s="63"/>
      <c r="J2" s="63"/>
      <c r="K2" s="63"/>
      <c r="L2" s="165" t="str">
        <f ca="1">"© 2008-"&amp;YEAR(TODAY())&amp;" Patrick Shi"</f>
        <v>© 2008-2018 Patrick Shi</v>
      </c>
      <c r="M2" s="165"/>
      <c r="N2" s="165"/>
      <c r="O2" s="63"/>
      <c r="P2" s="44"/>
      <c r="Q2" s="44"/>
      <c r="R2" s="44"/>
      <c r="S2" s="44"/>
      <c r="T2" s="44"/>
      <c r="U2" s="44"/>
    </row>
    <row r="3" spans="1:21" s="6" customFormat="1" ht="15.95" customHeight="1" x14ac:dyDescent="0.2">
      <c r="A3" s="54"/>
      <c r="B3" s="7"/>
      <c r="C3" s="7"/>
      <c r="D3" s="8"/>
      <c r="E3" s="2"/>
      <c r="F3" s="2"/>
      <c r="G3" s="2"/>
      <c r="H3" s="2"/>
      <c r="I3" s="2"/>
      <c r="J3" s="2"/>
      <c r="K3" s="2"/>
      <c r="L3" s="2"/>
      <c r="M3" s="2"/>
      <c r="N3" s="2"/>
      <c r="O3" s="54"/>
      <c r="P3" s="2"/>
      <c r="Q3" s="2"/>
      <c r="R3" s="2"/>
      <c r="S3" s="2"/>
      <c r="T3" s="2"/>
      <c r="U3" s="2"/>
    </row>
    <row r="4" spans="1:21" ht="15.95" customHeight="1" x14ac:dyDescent="0.2">
      <c r="A4" s="54"/>
      <c r="C4" s="9" t="s">
        <v>4</v>
      </c>
      <c r="E4" s="115"/>
      <c r="I4" s="9" t="s">
        <v>10</v>
      </c>
      <c r="J4" s="11" t="s">
        <v>11</v>
      </c>
      <c r="K4" s="11" t="s">
        <v>26</v>
      </c>
      <c r="L4" s="11" t="s">
        <v>12</v>
      </c>
      <c r="M4" s="11"/>
      <c r="O4" s="54"/>
    </row>
    <row r="5" spans="1:21" ht="15.95" customHeight="1" x14ac:dyDescent="0.2">
      <c r="A5" s="54"/>
      <c r="C5" s="4" t="s">
        <v>5</v>
      </c>
      <c r="D5" s="46">
        <v>10</v>
      </c>
      <c r="H5" s="1"/>
      <c r="I5" s="13" t="s">
        <v>10</v>
      </c>
      <c r="J5" s="14">
        <f>SUM(Reference!$B$2:$B$11)</f>
        <v>236350</v>
      </c>
      <c r="K5" s="14">
        <f>J5/4</f>
        <v>59087.5</v>
      </c>
      <c r="L5" s="14">
        <f>J5/MAX(Reference!$C$2:$C$11)</f>
        <v>4727</v>
      </c>
      <c r="O5" s="54"/>
    </row>
    <row r="6" spans="1:21" ht="15.95" customHeight="1" x14ac:dyDescent="0.2">
      <c r="A6" s="54"/>
      <c r="C6" s="4" t="s">
        <v>3</v>
      </c>
      <c r="D6" s="47">
        <v>156000</v>
      </c>
      <c r="E6" s="78" t="str">
        <f>IF($D$7="No","",IF(D6&gt;=Rates!$D$11,"No subsidy!",IF(D6&gt;Rates!$D$15,"Annual subsidy cap is "&amp;TEXT(Rates!$E$15,"$#,##0")&amp;" per child!","")))</f>
        <v/>
      </c>
      <c r="H6" s="1"/>
      <c r="I6" s="112" t="s">
        <v>93</v>
      </c>
      <c r="J6" s="14">
        <f>SUM(Reference!$G$2:$G$11)</f>
        <v>129290.81009660315</v>
      </c>
      <c r="K6" s="14">
        <f>J6/4</f>
        <v>32322.702524150787</v>
      </c>
      <c r="L6" s="14">
        <f>J6/MAX(Reference!$C$2:$C$11)</f>
        <v>2585.816201932063</v>
      </c>
      <c r="O6" s="54"/>
    </row>
    <row r="7" spans="1:21" ht="15.95" customHeight="1" x14ac:dyDescent="0.2">
      <c r="A7" s="54"/>
      <c r="C7" s="111" t="s">
        <v>90</v>
      </c>
      <c r="D7" s="74" t="s">
        <v>28</v>
      </c>
      <c r="E7" s="78" t="str">
        <f>IF(D7="No","Please don't use this calculator. ^","")</f>
        <v/>
      </c>
      <c r="F7" s="73"/>
      <c r="G7" s="73"/>
      <c r="H7" s="1"/>
      <c r="I7" s="112" t="s">
        <v>119</v>
      </c>
      <c r="J7" s="14">
        <f>J6*Rates!$E$30</f>
        <v>6464.5405048301582</v>
      </c>
      <c r="K7" s="14">
        <f>K6*Rates!$E$30</f>
        <v>1616.1351262075395</v>
      </c>
      <c r="L7" s="14">
        <f>L6*Rates!$E$30</f>
        <v>129.29081009660317</v>
      </c>
      <c r="O7" s="54"/>
    </row>
    <row r="8" spans="1:21" ht="15.95" customHeight="1" x14ac:dyDescent="0.2">
      <c r="A8" s="54"/>
      <c r="C8" s="4" t="s">
        <v>91</v>
      </c>
      <c r="D8" s="46" t="s">
        <v>96</v>
      </c>
      <c r="E8" s="139">
        <f>IF($D$8="8 hours to 16 hours",Rates!$E$25/2,IF($D$8="17 hours to 48 hours",Rates!$E$26/2,Rates!$E$27/2))</f>
        <v>50</v>
      </c>
      <c r="F8" s="73"/>
      <c r="G8" s="73"/>
      <c r="H8" s="1"/>
      <c r="I8" s="13" t="s">
        <v>120</v>
      </c>
      <c r="J8" s="14">
        <f>J6-J7</f>
        <v>122826.26959177299</v>
      </c>
      <c r="K8" s="14">
        <f>K6-K7</f>
        <v>30706.567397943247</v>
      </c>
      <c r="L8" s="14">
        <f>L6-L7</f>
        <v>2456.5253918354597</v>
      </c>
      <c r="O8" s="54"/>
    </row>
    <row r="9" spans="1:21" ht="15.95" customHeight="1" x14ac:dyDescent="0.2">
      <c r="A9" s="54"/>
      <c r="C9" s="12" t="s">
        <v>92</v>
      </c>
      <c r="D9" s="114">
        <f>Rates!H6</f>
        <v>0.55319333333333331</v>
      </c>
      <c r="E9" s="162"/>
      <c r="F9" s="73"/>
      <c r="G9" s="73"/>
      <c r="H9" s="1"/>
      <c r="I9" s="13" t="s">
        <v>133</v>
      </c>
      <c r="J9" s="14">
        <f>J5-J8</f>
        <v>113523.73040822701</v>
      </c>
      <c r="K9" s="14">
        <f>K5-K8</f>
        <v>28380.932602056753</v>
      </c>
      <c r="L9" s="14">
        <f>L5-L8</f>
        <v>2270.4746081645403</v>
      </c>
      <c r="O9" s="54"/>
    </row>
    <row r="10" spans="1:21" ht="15.95" customHeight="1" x14ac:dyDescent="0.2">
      <c r="A10" s="54"/>
      <c r="E10" s="73"/>
      <c r="F10" s="73"/>
      <c r="G10" s="73"/>
      <c r="H10" s="1"/>
      <c r="I10" s="13" t="s">
        <v>25</v>
      </c>
      <c r="J10" s="14">
        <f>J5-J6</f>
        <v>107059.18990339685</v>
      </c>
      <c r="K10" s="14">
        <f>J10/4</f>
        <v>26764.797475849213</v>
      </c>
      <c r="L10" s="14">
        <f>J10/MAX(Reference!$C$2:$C$11)</f>
        <v>2141.183798067937</v>
      </c>
      <c r="M10" s="128"/>
      <c r="O10" s="54"/>
    </row>
    <row r="11" spans="1:21" ht="15.95" customHeight="1" x14ac:dyDescent="0.2">
      <c r="A11" s="54"/>
      <c r="D11" s="113"/>
      <c r="E11" s="113"/>
      <c r="F11" s="73"/>
      <c r="G11" s="73"/>
      <c r="H11" s="1"/>
      <c r="O11" s="54"/>
    </row>
    <row r="12" spans="1:21" ht="15.95" customHeight="1" x14ac:dyDescent="0.2">
      <c r="A12" s="54"/>
      <c r="C12" s="16" t="s">
        <v>13</v>
      </c>
      <c r="D12" s="17"/>
      <c r="E12" s="18"/>
      <c r="F12" s="19"/>
      <c r="G12" s="123"/>
      <c r="I12" s="16" t="s">
        <v>14</v>
      </c>
      <c r="J12" s="17"/>
      <c r="K12" s="18"/>
      <c r="L12" s="19"/>
      <c r="M12" s="123"/>
      <c r="O12" s="54"/>
    </row>
    <row r="13" spans="1:21" ht="15.95" customHeight="1" x14ac:dyDescent="0.2">
      <c r="A13" s="54"/>
      <c r="C13" s="31" t="s">
        <v>9</v>
      </c>
      <c r="D13" s="132">
        <f>MAX(D14:D16)</f>
        <v>50</v>
      </c>
      <c r="E13" s="20"/>
      <c r="F13" s="21" t="s">
        <v>118</v>
      </c>
      <c r="G13" s="124"/>
      <c r="I13" s="38" t="s">
        <v>9</v>
      </c>
      <c r="J13" s="134">
        <f>D13</f>
        <v>50</v>
      </c>
      <c r="K13" s="20"/>
      <c r="L13" s="21" t="s">
        <v>118</v>
      </c>
      <c r="M13" s="124"/>
      <c r="O13" s="54"/>
    </row>
    <row r="14" spans="1:21" ht="15.95" customHeight="1" x14ac:dyDescent="0.2">
      <c r="A14" s="54"/>
      <c r="C14" s="27" t="s">
        <v>81</v>
      </c>
      <c r="D14" s="133">
        <v>50</v>
      </c>
      <c r="E14" s="22"/>
      <c r="F14" s="137">
        <v>11.77</v>
      </c>
      <c r="G14" s="22"/>
      <c r="I14" s="27" t="str">
        <f>C14</f>
        <v>Centre Based Long Day Care</v>
      </c>
      <c r="J14" s="135">
        <v>50</v>
      </c>
      <c r="K14" s="22"/>
      <c r="L14" s="23">
        <v>11.77</v>
      </c>
      <c r="M14" s="22"/>
      <c r="O14" s="54"/>
    </row>
    <row r="15" spans="1:21" ht="15.95" customHeight="1" x14ac:dyDescent="0.2">
      <c r="A15" s="54"/>
      <c r="C15" s="27" t="s">
        <v>82</v>
      </c>
      <c r="D15" s="133">
        <v>0</v>
      </c>
      <c r="E15" s="22"/>
      <c r="F15" s="137">
        <v>10.9</v>
      </c>
      <c r="G15" s="22"/>
      <c r="I15" s="27" t="str">
        <f>C15</f>
        <v>Family Day Care</v>
      </c>
      <c r="J15" s="133">
        <v>50</v>
      </c>
      <c r="K15" s="22"/>
      <c r="L15" s="23">
        <v>10.9</v>
      </c>
      <c r="M15" s="22"/>
      <c r="O15" s="54"/>
    </row>
    <row r="16" spans="1:21" ht="15.95" customHeight="1" x14ac:dyDescent="0.2">
      <c r="A16" s="54"/>
      <c r="C16" s="41" t="s">
        <v>83</v>
      </c>
      <c r="D16" s="133">
        <v>0</v>
      </c>
      <c r="E16" s="130"/>
      <c r="F16" s="137">
        <v>10.29</v>
      </c>
      <c r="G16" s="125"/>
      <c r="I16" s="27" t="str">
        <f>C16</f>
        <v>Outside School Hours Care</v>
      </c>
      <c r="J16" s="133">
        <v>0</v>
      </c>
      <c r="K16" s="22"/>
      <c r="L16" s="138">
        <v>10.29</v>
      </c>
      <c r="M16" s="20"/>
      <c r="O16" s="54"/>
    </row>
    <row r="17" spans="1:21" ht="15.95" customHeight="1" x14ac:dyDescent="0.2">
      <c r="A17" s="54"/>
      <c r="C17" s="180" t="s">
        <v>8</v>
      </c>
      <c r="D17" s="121">
        <f>SUMIF(D14:D16,"&gt;0",D18:D20)</f>
        <v>600</v>
      </c>
      <c r="E17" s="166"/>
      <c r="F17" s="167"/>
      <c r="G17" s="125"/>
      <c r="I17" s="38" t="s">
        <v>8</v>
      </c>
      <c r="J17" s="129">
        <f>SUMIF(J14:J16,"&gt;0",J18:J20)</f>
        <v>480</v>
      </c>
      <c r="K17" s="168"/>
      <c r="L17" s="169"/>
      <c r="M17" s="127"/>
      <c r="O17" s="54"/>
    </row>
    <row r="18" spans="1:21" ht="15.95" customHeight="1" x14ac:dyDescent="0.2">
      <c r="A18" s="54"/>
      <c r="C18" s="27" t="s">
        <v>81</v>
      </c>
      <c r="D18" s="120">
        <v>600</v>
      </c>
      <c r="E18" s="22"/>
      <c r="F18" s="23"/>
      <c r="G18" s="22"/>
      <c r="I18" s="27" t="str">
        <f>C18</f>
        <v>Centre Based Long Day Care</v>
      </c>
      <c r="J18" s="50">
        <v>300</v>
      </c>
      <c r="K18" s="22"/>
      <c r="L18" s="23"/>
      <c r="M18" s="22"/>
      <c r="O18" s="54"/>
    </row>
    <row r="19" spans="1:21" ht="15.95" customHeight="1" x14ac:dyDescent="0.2">
      <c r="A19" s="54"/>
      <c r="C19" s="27" t="s">
        <v>82</v>
      </c>
      <c r="D19" s="120">
        <v>0</v>
      </c>
      <c r="E19" s="22"/>
      <c r="F19" s="23"/>
      <c r="G19" s="22"/>
      <c r="I19" s="27" t="str">
        <f>C19</f>
        <v>Family Day Care</v>
      </c>
      <c r="J19" s="120">
        <v>180</v>
      </c>
      <c r="K19" s="22"/>
      <c r="L19" s="23"/>
      <c r="M19" s="22"/>
      <c r="O19" s="54"/>
    </row>
    <row r="20" spans="1:21" ht="15.95" customHeight="1" x14ac:dyDescent="0.2">
      <c r="A20" s="54"/>
      <c r="C20" s="41" t="s">
        <v>83</v>
      </c>
      <c r="D20" s="120">
        <v>0</v>
      </c>
      <c r="E20" s="130"/>
      <c r="F20" s="131" t="s">
        <v>102</v>
      </c>
      <c r="G20" s="125"/>
      <c r="I20" s="27" t="str">
        <f>C20</f>
        <v>Outside School Hours Care</v>
      </c>
      <c r="J20" s="120">
        <f>D20</f>
        <v>0</v>
      </c>
      <c r="K20" s="22"/>
      <c r="L20" s="122" t="str">
        <f>F20</f>
        <v>Maximum Child Care Subsidy</v>
      </c>
      <c r="M20" s="20"/>
      <c r="O20" s="54"/>
    </row>
    <row r="21" spans="1:21" ht="15.95" customHeight="1" x14ac:dyDescent="0.2">
      <c r="A21" s="54"/>
      <c r="C21" s="31" t="s">
        <v>0</v>
      </c>
      <c r="D21" s="75" t="str">
        <f>IF($D$8="8 hours to 16 hours","Maximum 18 hours of subsidy!",IF($D$8="17 hours to 48 hours","Maximum 36 hours of subsidy!","Maximum 50 hours of subsidy!"))</f>
        <v>Maximum 50 hours of subsidy!</v>
      </c>
      <c r="E21" s="32" t="s">
        <v>1</v>
      </c>
      <c r="F21" s="33" t="s">
        <v>2</v>
      </c>
      <c r="G21" s="32" t="s">
        <v>117</v>
      </c>
      <c r="I21" s="38" t="s">
        <v>0</v>
      </c>
      <c r="J21" s="76" t="str">
        <f>D21</f>
        <v>Maximum 50 hours of subsidy!</v>
      </c>
      <c r="K21" s="39" t="s">
        <v>1</v>
      </c>
      <c r="L21" s="40" t="s">
        <v>2</v>
      </c>
      <c r="M21" s="39" t="str">
        <f>$G$21</f>
        <v>Max Yearly Fee Eligible for CCS</v>
      </c>
      <c r="O21" s="54"/>
    </row>
    <row r="22" spans="1:21" ht="15.95" customHeight="1" x14ac:dyDescent="0.2">
      <c r="A22" s="54"/>
      <c r="C22" s="27" t="s">
        <v>81</v>
      </c>
      <c r="D22" s="48">
        <v>50</v>
      </c>
      <c r="E22" s="22">
        <f>F14*$D$9</f>
        <v>6.5110855333333326</v>
      </c>
      <c r="F22" s="23">
        <f>IF(D22&gt;$E$8,$E$8,D22)*E22</f>
        <v>325.55427666666662</v>
      </c>
      <c r="G22" s="22">
        <f>IF(F22=0,0,D18/D22*(F22/E22)*D14)</f>
        <v>30000</v>
      </c>
      <c r="I22" s="27" t="str">
        <f>C22</f>
        <v>Centre Based Long Day Care</v>
      </c>
      <c r="J22" s="49">
        <v>30</v>
      </c>
      <c r="K22" s="22">
        <f>L14*$D$9</f>
        <v>6.5110855333333326</v>
      </c>
      <c r="L22" s="23">
        <f>IF(J22&gt;$E$8,$E$8,J22)*K22</f>
        <v>195.33256599999999</v>
      </c>
      <c r="M22" s="22">
        <f>IF(L22=0,0,J18/J22*(L22/K22)*J14)</f>
        <v>15000</v>
      </c>
      <c r="O22" s="54"/>
    </row>
    <row r="23" spans="1:21" ht="15.95" customHeight="1" x14ac:dyDescent="0.2">
      <c r="A23" s="54"/>
      <c r="C23" s="27" t="s">
        <v>82</v>
      </c>
      <c r="D23" s="48">
        <v>0</v>
      </c>
      <c r="E23" s="22">
        <f>F15*$D$9</f>
        <v>6.0298073333333333</v>
      </c>
      <c r="F23" s="23">
        <f>IF(D23=0,0,IF(D22&gt;$E$8,0,IF(D22=0,IF(D23&gt;$E$8,$E$8,D23),IF(SUM(D22:D23)&gt;$E$8,$E$8-D22,D23))))*E23</f>
        <v>0</v>
      </c>
      <c r="G23" s="22">
        <f>IF(F23=0,0,D19/D23*(F23/E23)*D15)</f>
        <v>0</v>
      </c>
      <c r="I23" s="27" t="str">
        <f>C23</f>
        <v>Family Day Care</v>
      </c>
      <c r="J23" s="48">
        <v>20</v>
      </c>
      <c r="K23" s="22">
        <f>L15*$D$9</f>
        <v>6.0298073333333333</v>
      </c>
      <c r="L23" s="23">
        <f>IF(J23=0,0,IF(J22&gt;$E$8,0,IF(J22=0,IF(J23&gt;$E$8,$E$8,J23),IF(SUM(J22:J23)&gt;$E$8,$E$8-J22,J23))))*K23</f>
        <v>120.59614666666667</v>
      </c>
      <c r="M23" s="22">
        <f>IF(L23=0,0,J19/J23*(L23/K23)*J15)</f>
        <v>9000</v>
      </c>
      <c r="O23" s="54"/>
    </row>
    <row r="24" spans="1:21" ht="15.95" customHeight="1" x14ac:dyDescent="0.2">
      <c r="A24" s="54"/>
      <c r="C24" s="42" t="s">
        <v>83</v>
      </c>
      <c r="D24" s="48">
        <v>0</v>
      </c>
      <c r="E24" s="22">
        <f>F16*$D$9</f>
        <v>5.6923593999999991</v>
      </c>
      <c r="F24" s="23">
        <f>IF(D24=0,0,IF(OR(D22&gt;$E$8,D23&gt;$E$8),0,IF(AND(D22=0,D23=0),IF(D24&gt;$E$8,$E$8,D24),IF(AND(D22&lt;&gt;0,D23=0),$E$8-D22,IF(AND(D22=0,D23&lt;&gt;0),$E$8-D23,IF(SUM(D22:D23)&gt;$E$8,0,$E$8-SUM(D22:D23)))))))*E24</f>
        <v>0</v>
      </c>
      <c r="G24" s="22">
        <f>IF(F24=0,0,D20/D24*(F24/E24)*D16)</f>
        <v>0</v>
      </c>
      <c r="I24" s="27" t="str">
        <f>C24</f>
        <v>Outside School Hours Care</v>
      </c>
      <c r="J24" s="48">
        <v>0</v>
      </c>
      <c r="K24" s="22">
        <f>L16*$D$9</f>
        <v>5.6923593999999991</v>
      </c>
      <c r="L24" s="24">
        <f>IF(J24=0,0,IF(OR(J22&gt;$E$8,J23&gt;$E$8),0,IF(AND(J22=0,J23=0),IF(J24&gt;$E$8,$E$8,J24),IF(AND(J22&lt;&gt;0,J23=0),$E$8-J22,IF(AND(J22=0,J23&lt;&gt;0),$E$8-J23,IF(SUM(J22:J23)&gt;$E$8,0,$E$8-SUM(J22:J23)))))))*K24</f>
        <v>0</v>
      </c>
      <c r="M24" s="22">
        <f>IF(L24=0,0,J20/J24*(L24/K24)*J16)</f>
        <v>0</v>
      </c>
      <c r="O24" s="54"/>
    </row>
    <row r="25" spans="1:21" ht="15.95" customHeight="1" x14ac:dyDescent="0.2">
      <c r="A25" s="54"/>
      <c r="C25" s="29" t="s">
        <v>24</v>
      </c>
      <c r="D25" s="34" t="s">
        <v>12</v>
      </c>
      <c r="E25" s="30" t="s">
        <v>11</v>
      </c>
      <c r="F25" s="43" t="s">
        <v>26</v>
      </c>
      <c r="G25" s="126"/>
      <c r="I25" s="29" t="s">
        <v>24</v>
      </c>
      <c r="J25" s="34" t="s">
        <v>12</v>
      </c>
      <c r="K25" s="30" t="s">
        <v>11</v>
      </c>
      <c r="L25" s="43" t="s">
        <v>26</v>
      </c>
      <c r="M25" s="126"/>
      <c r="O25" s="54"/>
    </row>
    <row r="26" spans="1:21" ht="15.95" customHeight="1" x14ac:dyDescent="0.2">
      <c r="A26" s="54"/>
      <c r="C26" s="27" t="s">
        <v>10</v>
      </c>
      <c r="D26" s="35">
        <f>D17</f>
        <v>600</v>
      </c>
      <c r="E26" s="22">
        <f>D14*D18+D15*D19+D16*D20</f>
        <v>30000</v>
      </c>
      <c r="F26" s="23">
        <f>E26/4</f>
        <v>7500</v>
      </c>
      <c r="G26" s="22"/>
      <c r="I26" s="27" t="str">
        <f t="shared" ref="I26:I31" si="0">C26</f>
        <v>Child Care Fees</v>
      </c>
      <c r="J26" s="35">
        <f>J17</f>
        <v>480</v>
      </c>
      <c r="K26" s="22">
        <f>J14*J18+J15*J19+J16*J20</f>
        <v>24000</v>
      </c>
      <c r="L26" s="23">
        <f>K26/4</f>
        <v>6000</v>
      </c>
      <c r="M26" s="22"/>
      <c r="O26" s="54"/>
    </row>
    <row r="27" spans="1:21" ht="15.95" customHeight="1" x14ac:dyDescent="0.2">
      <c r="A27" s="54"/>
      <c r="C27" s="27" t="s">
        <v>94</v>
      </c>
      <c r="D27" s="36">
        <f>IFERROR(E27/D13,0)</f>
        <v>325.55427666666662</v>
      </c>
      <c r="E27" s="22">
        <f>IF($D$6&gt;Rates!$D$15,MIN(Rates!$E$15,F22*D14+F23*D15+F24*D16,SUM(G22:G24)*$D$9),MIN(F22*D14+F23*D15+F24*D16,SUM(G22:G24)*$D$9))</f>
        <v>16277.713833333331</v>
      </c>
      <c r="F27" s="23">
        <f>E27/4</f>
        <v>4069.4284583333329</v>
      </c>
      <c r="G27" s="22"/>
      <c r="I27" s="27" t="str">
        <f t="shared" si="0"/>
        <v>Child Care Subsidy</v>
      </c>
      <c r="J27" s="36">
        <f>IFERROR(K27/J13,0)</f>
        <v>265.53280000000001</v>
      </c>
      <c r="K27" s="22">
        <f>IF($D$6&gt;Rates!$D$15,MIN(Rates!$E$15,L22*J14+L23*J15+L24*J16,SUM(M22:M24)*$D$9),MIN(L22*J14+L23*J15+L24*J16,SUM(M22:M24)*$D$9))</f>
        <v>13276.64</v>
      </c>
      <c r="L27" s="23">
        <f>K27/4</f>
        <v>3319.16</v>
      </c>
      <c r="M27" s="22"/>
      <c r="O27" s="54"/>
    </row>
    <row r="28" spans="1:21" ht="15.95" customHeight="1" x14ac:dyDescent="0.2">
      <c r="A28" s="54"/>
      <c r="C28" s="27" t="s">
        <v>119</v>
      </c>
      <c r="D28" s="36">
        <f>D27*Rates!$E$30</f>
        <v>16.277713833333333</v>
      </c>
      <c r="E28" s="22">
        <f>E27*Rates!$E$30</f>
        <v>813.88569166666662</v>
      </c>
      <c r="F28" s="23">
        <f>F27*Rates!$E$30</f>
        <v>203.47142291666665</v>
      </c>
      <c r="G28" s="22"/>
      <c r="I28" s="27" t="str">
        <f t="shared" si="0"/>
        <v>5% CCS Withholding</v>
      </c>
      <c r="J28" s="36">
        <f>J27*Rates!$E$30</f>
        <v>13.27664</v>
      </c>
      <c r="K28" s="22">
        <f>K27*Rates!$E$30</f>
        <v>663.83199999999999</v>
      </c>
      <c r="L28" s="23">
        <f>L27*Rates!$E$30</f>
        <v>165.958</v>
      </c>
      <c r="M28" s="22"/>
      <c r="O28" s="54"/>
    </row>
    <row r="29" spans="1:21" ht="15.95" customHeight="1" x14ac:dyDescent="0.2">
      <c r="A29" s="54"/>
      <c r="C29" s="27" t="s">
        <v>120</v>
      </c>
      <c r="D29" s="35">
        <f>D27-D28</f>
        <v>309.27656283333329</v>
      </c>
      <c r="E29" s="35">
        <f>E27-E28</f>
        <v>15463.828141666665</v>
      </c>
      <c r="F29" s="23">
        <f>F27-F28</f>
        <v>3865.9570354166663</v>
      </c>
      <c r="G29" s="22"/>
      <c r="I29" s="27" t="str">
        <f t="shared" si="0"/>
        <v>CCS Paid to Service Provider</v>
      </c>
      <c r="J29" s="35">
        <f>J27-J28</f>
        <v>252.25616000000002</v>
      </c>
      <c r="K29" s="35">
        <f>K27-K28</f>
        <v>12612.807999999999</v>
      </c>
      <c r="L29" s="23">
        <f>L27-L28</f>
        <v>3153.2019999999998</v>
      </c>
      <c r="M29" s="22"/>
      <c r="O29" s="54"/>
    </row>
    <row r="30" spans="1:21" ht="15.95" customHeight="1" x14ac:dyDescent="0.2">
      <c r="A30" s="54"/>
      <c r="C30" s="27" t="s">
        <v>25</v>
      </c>
      <c r="D30" s="35">
        <f>D26-D29</f>
        <v>290.72343716666671</v>
      </c>
      <c r="E30" s="35">
        <f>E26-E29</f>
        <v>14536.171858333335</v>
      </c>
      <c r="F30" s="23">
        <f>F26-F29</f>
        <v>3634.0429645833337</v>
      </c>
      <c r="G30" s="22"/>
      <c r="I30" s="27" t="str">
        <f t="shared" si="0"/>
        <v>Out-of-pocket Child Care Cost</v>
      </c>
      <c r="J30" s="35">
        <f>J26-J29</f>
        <v>227.74383999999998</v>
      </c>
      <c r="K30" s="35">
        <f>K26-K29</f>
        <v>11387.192000000001</v>
      </c>
      <c r="L30" s="23">
        <f>L26-L29</f>
        <v>2846.7980000000002</v>
      </c>
      <c r="M30" s="22"/>
      <c r="O30" s="54"/>
    </row>
    <row r="31" spans="1:21" ht="15.95" customHeight="1" x14ac:dyDescent="0.2">
      <c r="A31" s="54"/>
      <c r="C31" s="28" t="s">
        <v>134</v>
      </c>
      <c r="D31" s="37">
        <f>D26-D27</f>
        <v>274.44572333333338</v>
      </c>
      <c r="E31" s="37">
        <f t="shared" ref="E31:F31" si="1">E26-E27</f>
        <v>13722.286166666669</v>
      </c>
      <c r="F31" s="24">
        <f t="shared" si="1"/>
        <v>3430.5715416666671</v>
      </c>
      <c r="G31" s="22"/>
      <c r="I31" s="28" t="str">
        <f t="shared" si="0"/>
        <v>Child Care Cost after EOY Reconciliation</v>
      </c>
      <c r="J31" s="37">
        <f>J26-J27</f>
        <v>214.46719999999999</v>
      </c>
      <c r="K31" s="37">
        <f t="shared" ref="K31:L31" si="2">K26-K27</f>
        <v>10723.36</v>
      </c>
      <c r="L31" s="24">
        <f t="shared" si="2"/>
        <v>2680.84</v>
      </c>
      <c r="M31" s="22"/>
      <c r="O31" s="54"/>
    </row>
    <row r="32" spans="1:21" s="15" customFormat="1" ht="15.95" customHeight="1" x14ac:dyDescent="0.2">
      <c r="A32" s="54"/>
      <c r="C32" s="25"/>
      <c r="E32" s="26"/>
      <c r="F32" s="26"/>
      <c r="G32" s="26"/>
      <c r="I32" s="25"/>
      <c r="K32" s="26"/>
      <c r="L32" s="26"/>
      <c r="M32" s="26"/>
      <c r="O32" s="54"/>
      <c r="P32" s="12"/>
      <c r="Q32" s="12"/>
      <c r="R32" s="12"/>
      <c r="S32" s="12"/>
      <c r="T32" s="12"/>
      <c r="U32" s="12"/>
    </row>
    <row r="33" spans="1:15" ht="15.95" customHeight="1" x14ac:dyDescent="0.2">
      <c r="A33" s="54"/>
      <c r="C33" s="16" t="s">
        <v>15</v>
      </c>
      <c r="D33" s="17"/>
      <c r="E33" s="18"/>
      <c r="F33" s="19"/>
      <c r="G33" s="123"/>
      <c r="I33" s="16" t="s">
        <v>16</v>
      </c>
      <c r="J33" s="17"/>
      <c r="K33" s="18"/>
      <c r="L33" s="19"/>
      <c r="M33" s="123"/>
      <c r="O33" s="54"/>
    </row>
    <row r="34" spans="1:15" ht="15.95" customHeight="1" x14ac:dyDescent="0.2">
      <c r="A34" s="54"/>
      <c r="C34" s="38" t="s">
        <v>9</v>
      </c>
      <c r="D34" s="136">
        <f>MAX(D35:D37)</f>
        <v>42</v>
      </c>
      <c r="E34" s="20"/>
      <c r="F34" s="21" t="s">
        <v>118</v>
      </c>
      <c r="G34" s="124"/>
      <c r="I34" s="38" t="s">
        <v>9</v>
      </c>
      <c r="J34" s="136">
        <f>MAX(J35:J37)</f>
        <v>50</v>
      </c>
      <c r="K34" s="20"/>
      <c r="L34" s="21" t="s">
        <v>118</v>
      </c>
      <c r="M34" s="124"/>
      <c r="O34" s="54"/>
    </row>
    <row r="35" spans="1:15" ht="15.95" customHeight="1" x14ac:dyDescent="0.2">
      <c r="A35" s="54"/>
      <c r="C35" s="27" t="s">
        <v>81</v>
      </c>
      <c r="D35" s="48">
        <v>0</v>
      </c>
      <c r="E35" s="20"/>
      <c r="F35" s="138">
        <v>11.77</v>
      </c>
      <c r="G35" s="124"/>
      <c r="I35" s="27" t="s">
        <v>81</v>
      </c>
      <c r="J35" s="49">
        <v>50</v>
      </c>
      <c r="K35" s="20"/>
      <c r="L35" s="138">
        <v>11.77</v>
      </c>
      <c r="M35" s="124"/>
      <c r="O35" s="54"/>
    </row>
    <row r="36" spans="1:15" ht="15.95" customHeight="1" x14ac:dyDescent="0.2">
      <c r="A36" s="54"/>
      <c r="C36" s="27" t="s">
        <v>82</v>
      </c>
      <c r="D36" s="48">
        <v>0</v>
      </c>
      <c r="E36" s="20"/>
      <c r="F36" s="138">
        <v>10.9</v>
      </c>
      <c r="G36" s="124"/>
      <c r="I36" s="27" t="s">
        <v>82</v>
      </c>
      <c r="J36" s="49">
        <v>0</v>
      </c>
      <c r="K36" s="20"/>
      <c r="L36" s="138">
        <v>10.9</v>
      </c>
      <c r="M36" s="124"/>
      <c r="O36" s="54"/>
    </row>
    <row r="37" spans="1:15" ht="15.95" customHeight="1" x14ac:dyDescent="0.2">
      <c r="A37" s="54"/>
      <c r="C37" s="27" t="s">
        <v>83</v>
      </c>
      <c r="D37" s="48">
        <v>42</v>
      </c>
      <c r="E37" s="20"/>
      <c r="F37" s="138">
        <v>10.29</v>
      </c>
      <c r="G37" s="124"/>
      <c r="I37" s="27" t="s">
        <v>83</v>
      </c>
      <c r="J37" s="49">
        <v>0</v>
      </c>
      <c r="K37" s="20"/>
      <c r="L37" s="138">
        <v>10.29</v>
      </c>
      <c r="M37" s="124"/>
      <c r="O37" s="54"/>
    </row>
    <row r="38" spans="1:15" ht="15.95" customHeight="1" x14ac:dyDescent="0.2">
      <c r="A38" s="54"/>
      <c r="C38" s="38" t="s">
        <v>8</v>
      </c>
      <c r="D38" s="121">
        <f>SUMIF(D35:D37,"&gt;0",D39:D41)</f>
        <v>175</v>
      </c>
      <c r="E38" s="172"/>
      <c r="F38" s="169"/>
      <c r="G38" s="127"/>
      <c r="I38" s="38" t="s">
        <v>8</v>
      </c>
      <c r="J38" s="129">
        <f>SUMIF(J35:J37,"&gt;0",J39:J41)</f>
        <v>500</v>
      </c>
      <c r="K38" s="168"/>
      <c r="L38" s="169"/>
      <c r="M38" s="127"/>
      <c r="O38" s="54"/>
    </row>
    <row r="39" spans="1:15" ht="15.95" customHeight="1" x14ac:dyDescent="0.2">
      <c r="A39" s="54"/>
      <c r="C39" s="41" t="str">
        <f>C18</f>
        <v>Centre Based Long Day Care</v>
      </c>
      <c r="D39" s="120">
        <v>0</v>
      </c>
      <c r="E39" s="22"/>
      <c r="F39" s="23"/>
      <c r="G39" s="22"/>
      <c r="I39" s="27" t="str">
        <f>C39</f>
        <v>Centre Based Long Day Care</v>
      </c>
      <c r="J39" s="50">
        <v>500</v>
      </c>
      <c r="K39" s="22"/>
      <c r="L39" s="23"/>
      <c r="M39" s="22"/>
      <c r="O39" s="54"/>
    </row>
    <row r="40" spans="1:15" ht="15.95" customHeight="1" x14ac:dyDescent="0.2">
      <c r="A40" s="54"/>
      <c r="C40" s="41" t="str">
        <f>C19</f>
        <v>Family Day Care</v>
      </c>
      <c r="D40" s="120">
        <v>0</v>
      </c>
      <c r="E40" s="22"/>
      <c r="F40" s="23"/>
      <c r="G40" s="22"/>
      <c r="I40" s="27" t="str">
        <f>C40</f>
        <v>Family Day Care</v>
      </c>
      <c r="J40" s="120">
        <v>0</v>
      </c>
      <c r="K40" s="22"/>
      <c r="L40" s="23"/>
      <c r="M40" s="22"/>
      <c r="O40" s="54"/>
    </row>
    <row r="41" spans="1:15" ht="15.95" customHeight="1" x14ac:dyDescent="0.2">
      <c r="A41" s="54"/>
      <c r="C41" s="41" t="str">
        <f>C20</f>
        <v>Outside School Hours Care</v>
      </c>
      <c r="D41" s="120">
        <f>35*5</f>
        <v>175</v>
      </c>
      <c r="E41" s="22"/>
      <c r="F41" s="23" t="s">
        <v>102</v>
      </c>
      <c r="G41" s="22"/>
      <c r="I41" s="27" t="str">
        <f>C41</f>
        <v>Outside School Hours Care</v>
      </c>
      <c r="J41" s="120">
        <v>0</v>
      </c>
      <c r="K41" s="22"/>
      <c r="L41" s="23" t="s">
        <v>102</v>
      </c>
      <c r="M41" s="22"/>
      <c r="O41" s="54"/>
    </row>
    <row r="42" spans="1:15" ht="15.95" customHeight="1" x14ac:dyDescent="0.2">
      <c r="A42" s="54"/>
      <c r="C42" s="38" t="s">
        <v>0</v>
      </c>
      <c r="D42" s="77" t="str">
        <f>D21</f>
        <v>Maximum 50 hours of subsidy!</v>
      </c>
      <c r="E42" s="39" t="s">
        <v>1</v>
      </c>
      <c r="F42" s="40" t="s">
        <v>2</v>
      </c>
      <c r="G42" s="39" t="str">
        <f>$G$21</f>
        <v>Max Yearly Fee Eligible for CCS</v>
      </c>
      <c r="I42" s="38" t="s">
        <v>0</v>
      </c>
      <c r="J42" s="76" t="str">
        <f>D42</f>
        <v>Maximum 50 hours of subsidy!</v>
      </c>
      <c r="K42" s="39" t="s">
        <v>1</v>
      </c>
      <c r="L42" s="40" t="s">
        <v>2</v>
      </c>
      <c r="M42" s="39" t="str">
        <f>$G$21</f>
        <v>Max Yearly Fee Eligible for CCS</v>
      </c>
      <c r="O42" s="54"/>
    </row>
    <row r="43" spans="1:15" ht="15.95" customHeight="1" x14ac:dyDescent="0.2">
      <c r="A43" s="54"/>
      <c r="C43" s="41" t="str">
        <f>C22</f>
        <v>Centre Based Long Day Care</v>
      </c>
      <c r="D43" s="48">
        <v>0</v>
      </c>
      <c r="E43" s="22">
        <f>F35*$D$9</f>
        <v>6.5110855333333326</v>
      </c>
      <c r="F43" s="23">
        <f>IF(D43&gt;$E$8,$E$8,D43)*E43</f>
        <v>0</v>
      </c>
      <c r="G43" s="22">
        <f>IF(F43=0,0,D39/D43*(F43/E43)*D35)</f>
        <v>0</v>
      </c>
      <c r="I43" s="27" t="str">
        <f>C43</f>
        <v>Centre Based Long Day Care</v>
      </c>
      <c r="J43" s="49">
        <v>52.5</v>
      </c>
      <c r="K43" s="22">
        <f>L35*$D$9</f>
        <v>6.5110855333333326</v>
      </c>
      <c r="L43" s="23">
        <f>IF(J43&gt;$E$8,$E$8,J43)*K43</f>
        <v>325.55427666666662</v>
      </c>
      <c r="M43" s="22">
        <f>IF(L43=0,0,J39/J43*(L43/K43)*J35)</f>
        <v>23809.523809523809</v>
      </c>
      <c r="O43" s="54"/>
    </row>
    <row r="44" spans="1:15" ht="15.95" customHeight="1" x14ac:dyDescent="0.2">
      <c r="A44" s="54"/>
      <c r="C44" s="41" t="str">
        <f>C23</f>
        <v>Family Day Care</v>
      </c>
      <c r="D44" s="48">
        <v>0</v>
      </c>
      <c r="E44" s="22">
        <f>F36*$D$9</f>
        <v>6.0298073333333333</v>
      </c>
      <c r="F44" s="23">
        <f>IF(D44=0,0,IF(D43&gt;$E$8,0,IF(D43=0,IF(D44&gt;$E$8,$E$8,D44),IF(SUM(D43:D44)&gt;$E$8,$E$8-D43,D44))))*E44</f>
        <v>0</v>
      </c>
      <c r="G44" s="22">
        <f>IF(F44=0,0,D40/D44*(F44/E44)*D36)</f>
        <v>0</v>
      </c>
      <c r="I44" s="27" t="str">
        <f>C44</f>
        <v>Family Day Care</v>
      </c>
      <c r="J44" s="48">
        <v>0</v>
      </c>
      <c r="K44" s="22">
        <f>L36*$D$9</f>
        <v>6.0298073333333333</v>
      </c>
      <c r="L44" s="23">
        <f>IF(J44=0,0,IF(J43&gt;$E$8,0,IF(J43=0,IF(J44&gt;$E$8,$E$8,J44),IF(SUM(J43:J44)&gt;$E$8,$E$8-J43,J44))))*K44</f>
        <v>0</v>
      </c>
      <c r="M44" s="22">
        <f>IF(L44=0,0,J40/J44*(L44/K44)*J36)</f>
        <v>0</v>
      </c>
      <c r="O44" s="54"/>
    </row>
    <row r="45" spans="1:15" ht="15.95" customHeight="1" x14ac:dyDescent="0.2">
      <c r="A45" s="54"/>
      <c r="C45" s="41" t="str">
        <f>C24</f>
        <v>Outside School Hours Care</v>
      </c>
      <c r="D45" s="48">
        <f>3*5</f>
        <v>15</v>
      </c>
      <c r="E45" s="22">
        <f>F37*$D$9</f>
        <v>5.6923593999999991</v>
      </c>
      <c r="F45" s="24">
        <f>IF(D45=0,0,IF(OR(D43&gt;$E$8,D44&gt;$E$8),0,IF(AND(D43=0,D44=0),IF(D45&gt;$E$8,$E$8,D45),IF(AND(D43&lt;&gt;0,D44=0),$E$8-D43,IF(AND(D43=0,D44&lt;&gt;0),$E$8-D44,IF(SUM(D43:D44)&gt;$E$8,0,$E$8-SUM(D43:D44)))))))*E45</f>
        <v>85.385390999999984</v>
      </c>
      <c r="G45" s="22">
        <f>IF(F45=0,0,D41/D45*(F45/E45)*D37)</f>
        <v>7350</v>
      </c>
      <c r="I45" s="27" t="str">
        <f>C45</f>
        <v>Outside School Hours Care</v>
      </c>
      <c r="J45" s="48">
        <v>0</v>
      </c>
      <c r="K45" s="22">
        <f>L37*$D$9</f>
        <v>5.6923593999999991</v>
      </c>
      <c r="L45" s="24">
        <f>IF(J45=0,0,IF(OR(J43&gt;$E$8,J44&gt;$E$8),0,IF(AND(J43=0,J44=0),IF(J45&gt;$E$8,$E$8,J45),IF(AND(J43&lt;&gt;0,J44=0),$E$8-J43,IF(AND(J43=0,J44&lt;&gt;0),$E$8-J44,IF(SUM(J43:J44)&gt;$E$8,0,$E$8-SUM(J43:J44)))))))*K45</f>
        <v>0</v>
      </c>
      <c r="M45" s="22">
        <f>IF(L45=0,0,J41/J45*(L45/K45)*J37)</f>
        <v>0</v>
      </c>
      <c r="O45" s="54"/>
    </row>
    <row r="46" spans="1:15" ht="15.95" customHeight="1" x14ac:dyDescent="0.2">
      <c r="A46" s="54"/>
      <c r="C46" s="29" t="s">
        <v>24</v>
      </c>
      <c r="D46" s="34" t="s">
        <v>12</v>
      </c>
      <c r="E46" s="30" t="s">
        <v>11</v>
      </c>
      <c r="F46" s="43" t="s">
        <v>26</v>
      </c>
      <c r="G46" s="126"/>
      <c r="I46" s="29" t="s">
        <v>24</v>
      </c>
      <c r="J46" s="34" t="s">
        <v>12</v>
      </c>
      <c r="K46" s="30" t="s">
        <v>11</v>
      </c>
      <c r="L46" s="43" t="s">
        <v>26</v>
      </c>
      <c r="M46" s="126"/>
      <c r="O46" s="54"/>
    </row>
    <row r="47" spans="1:15" ht="15.95" customHeight="1" x14ac:dyDescent="0.2">
      <c r="A47" s="54"/>
      <c r="C47" s="27" t="str">
        <f t="shared" ref="C47:C52" si="3">C26</f>
        <v>Child Care Fees</v>
      </c>
      <c r="D47" s="35">
        <f>D38</f>
        <v>175</v>
      </c>
      <c r="E47" s="22">
        <f>D35*D39+D36*D40+D37*D41</f>
        <v>7350</v>
      </c>
      <c r="F47" s="23">
        <f>E47/4</f>
        <v>1837.5</v>
      </c>
      <c r="G47" s="22"/>
      <c r="I47" s="27" t="s">
        <v>10</v>
      </c>
      <c r="J47" s="35">
        <f>J38</f>
        <v>500</v>
      </c>
      <c r="K47" s="22">
        <f>J35*J39+J36*J40+J37*J41</f>
        <v>25000</v>
      </c>
      <c r="L47" s="23">
        <f>K47/4</f>
        <v>6250</v>
      </c>
      <c r="M47" s="22"/>
      <c r="O47" s="54"/>
    </row>
    <row r="48" spans="1:15" ht="15.95" customHeight="1" x14ac:dyDescent="0.2">
      <c r="A48" s="54"/>
      <c r="C48" s="27" t="str">
        <f t="shared" si="3"/>
        <v>Child Care Subsidy</v>
      </c>
      <c r="D48" s="36">
        <f>IFERROR(E48/D34,0)</f>
        <v>85.385390999999984</v>
      </c>
      <c r="E48" s="22">
        <f>IF($D$6&gt;Rates!$D$15,MIN(Rates!$E$15,F43*D35+F44*D36+F45*D37,SUM(G43:G45)*$D$9),MIN(F43*D35+F44*D36+F45*D37,SUM(G43:G45)*$D$9))</f>
        <v>3586.1864219999993</v>
      </c>
      <c r="F48" s="23">
        <f>E48/4</f>
        <v>896.54660549999983</v>
      </c>
      <c r="G48" s="22"/>
      <c r="I48" s="27" t="s">
        <v>94</v>
      </c>
      <c r="J48" s="36">
        <f>IFERROR(K48/J34,0)</f>
        <v>263.42539682539683</v>
      </c>
      <c r="K48" s="22">
        <f>IF($D$6&gt;Rates!$D$15,MIN(Rates!$E$15,L43*J35+L44*J36+L45*J37,SUM(M43:M45)*$D$9),MIN(L43*J35+L44*J36+L45*J37,SUM(M43:M45)*$D$9))</f>
        <v>13171.269841269841</v>
      </c>
      <c r="L48" s="23">
        <f>K48/4</f>
        <v>3292.8174603174602</v>
      </c>
      <c r="M48" s="22"/>
      <c r="O48" s="54"/>
    </row>
    <row r="49" spans="1:21" ht="15.95" customHeight="1" x14ac:dyDescent="0.2">
      <c r="A49" s="54"/>
      <c r="C49" s="27" t="str">
        <f t="shared" si="3"/>
        <v>5% CCS Withholding</v>
      </c>
      <c r="D49" s="36">
        <f>D48*Rates!$E$30</f>
        <v>4.2692695499999997</v>
      </c>
      <c r="E49" s="22">
        <f>E48*Rates!$E$30</f>
        <v>179.30932109999998</v>
      </c>
      <c r="F49" s="23">
        <f>F48*Rates!$E$30</f>
        <v>44.827330274999994</v>
      </c>
      <c r="G49" s="22"/>
      <c r="H49" s="1"/>
      <c r="I49" s="27" t="str">
        <f>I28</f>
        <v>5% CCS Withholding</v>
      </c>
      <c r="J49" s="36">
        <f>J48*Rates!$E$30</f>
        <v>13.171269841269842</v>
      </c>
      <c r="K49" s="22">
        <f>K48*Rates!$E$30</f>
        <v>658.56349206349205</v>
      </c>
      <c r="L49" s="23">
        <f>L48*Rates!$E$30</f>
        <v>164.64087301587301</v>
      </c>
      <c r="M49" s="22"/>
      <c r="O49" s="54"/>
    </row>
    <row r="50" spans="1:21" ht="15.95" customHeight="1" x14ac:dyDescent="0.2">
      <c r="A50" s="54"/>
      <c r="C50" s="27" t="str">
        <f t="shared" si="3"/>
        <v>CCS Paid to Service Provider</v>
      </c>
      <c r="D50" s="35">
        <f t="shared" ref="D50:F50" si="4">D48-D49</f>
        <v>81.11612144999998</v>
      </c>
      <c r="E50" s="35">
        <f t="shared" si="4"/>
        <v>3406.8771008999993</v>
      </c>
      <c r="F50" s="23">
        <f t="shared" si="4"/>
        <v>851.71927522499982</v>
      </c>
      <c r="G50" s="22"/>
      <c r="I50" s="27" t="str">
        <f>I29</f>
        <v>CCS Paid to Service Provider</v>
      </c>
      <c r="J50" s="35">
        <f t="shared" ref="J50:L50" si="5">J48-J49</f>
        <v>250.254126984127</v>
      </c>
      <c r="K50" s="35">
        <f t="shared" si="5"/>
        <v>12512.70634920635</v>
      </c>
      <c r="L50" s="23">
        <f t="shared" si="5"/>
        <v>3128.1765873015875</v>
      </c>
      <c r="M50" s="22"/>
      <c r="O50" s="54"/>
    </row>
    <row r="51" spans="1:21" ht="15.95" customHeight="1" x14ac:dyDescent="0.2">
      <c r="A51" s="54"/>
      <c r="C51" s="27" t="str">
        <f t="shared" si="3"/>
        <v>Out-of-pocket Child Care Cost</v>
      </c>
      <c r="D51" s="35">
        <f>D47-D50</f>
        <v>93.88387855000002</v>
      </c>
      <c r="E51" s="35">
        <f>E47-E50</f>
        <v>3943.1228991000007</v>
      </c>
      <c r="F51" s="23">
        <f>F47-F50</f>
        <v>985.78072477500018</v>
      </c>
      <c r="G51" s="22"/>
      <c r="I51" s="27" t="str">
        <f>I30</f>
        <v>Out-of-pocket Child Care Cost</v>
      </c>
      <c r="J51" s="35">
        <f>J47-J50</f>
        <v>249.745873015873</v>
      </c>
      <c r="K51" s="35">
        <f>K47-K50</f>
        <v>12487.29365079365</v>
      </c>
      <c r="L51" s="23">
        <f>L47-L50</f>
        <v>3121.8234126984125</v>
      </c>
      <c r="M51" s="22"/>
      <c r="O51" s="54"/>
    </row>
    <row r="52" spans="1:21" ht="15.95" customHeight="1" x14ac:dyDescent="0.2">
      <c r="A52" s="54"/>
      <c r="C52" s="28" t="str">
        <f t="shared" si="3"/>
        <v>Child Care Cost after EOY Reconciliation</v>
      </c>
      <c r="D52" s="37">
        <f>D47-D48</f>
        <v>89.614609000000016</v>
      </c>
      <c r="E52" s="37">
        <f t="shared" ref="E52:F52" si="6">E47-E48</f>
        <v>3763.8135780000007</v>
      </c>
      <c r="F52" s="24">
        <f t="shared" si="6"/>
        <v>940.95339450000017</v>
      </c>
      <c r="G52" s="22"/>
      <c r="H52" s="1"/>
      <c r="I52" s="28" t="str">
        <f>C52</f>
        <v>Child Care Cost after EOY Reconciliation</v>
      </c>
      <c r="J52" s="37">
        <f>J47-J48</f>
        <v>236.57460317460317</v>
      </c>
      <c r="K52" s="37">
        <f t="shared" ref="K52:L52" si="7">K47-K48</f>
        <v>11828.730158730159</v>
      </c>
      <c r="L52" s="24">
        <f t="shared" si="7"/>
        <v>2957.1825396825398</v>
      </c>
      <c r="M52" s="22"/>
      <c r="O52" s="54"/>
    </row>
    <row r="53" spans="1:21" s="15" customFormat="1" ht="15.95" customHeight="1" x14ac:dyDescent="0.2">
      <c r="A53" s="54"/>
      <c r="C53" s="25"/>
      <c r="E53" s="26"/>
      <c r="F53" s="26"/>
      <c r="G53" s="26"/>
      <c r="I53" s="25"/>
      <c r="K53" s="26"/>
      <c r="L53" s="26"/>
      <c r="M53" s="26"/>
      <c r="O53" s="54"/>
      <c r="P53" s="12"/>
      <c r="Q53" s="12"/>
      <c r="R53" s="12"/>
      <c r="S53" s="12"/>
      <c r="T53" s="12"/>
      <c r="U53" s="12"/>
    </row>
    <row r="54" spans="1:21" ht="15.95" customHeight="1" x14ac:dyDescent="0.2">
      <c r="A54" s="54"/>
      <c r="C54" s="16" t="s">
        <v>17</v>
      </c>
      <c r="D54" s="17"/>
      <c r="E54" s="18"/>
      <c r="F54" s="19"/>
      <c r="G54" s="123"/>
      <c r="I54" s="16" t="s">
        <v>18</v>
      </c>
      <c r="J54" s="17"/>
      <c r="K54" s="18"/>
      <c r="L54" s="19"/>
      <c r="M54" s="123"/>
      <c r="O54" s="54"/>
    </row>
    <row r="55" spans="1:21" ht="15.95" customHeight="1" x14ac:dyDescent="0.2">
      <c r="A55" s="54"/>
      <c r="C55" s="38" t="s">
        <v>9</v>
      </c>
      <c r="D55" s="136">
        <f>MAX(D56:D58)</f>
        <v>50</v>
      </c>
      <c r="E55" s="20"/>
      <c r="F55" s="21" t="s">
        <v>118</v>
      </c>
      <c r="G55" s="124"/>
      <c r="I55" s="38" t="s">
        <v>9</v>
      </c>
      <c r="J55" s="136">
        <f>MAX(J56:J58)</f>
        <v>50</v>
      </c>
      <c r="K55" s="20"/>
      <c r="L55" s="21" t="s">
        <v>118</v>
      </c>
      <c r="M55" s="124"/>
      <c r="O55" s="54"/>
    </row>
    <row r="56" spans="1:21" ht="15.95" customHeight="1" x14ac:dyDescent="0.2">
      <c r="A56" s="54"/>
      <c r="C56" s="27" t="s">
        <v>81</v>
      </c>
      <c r="D56" s="49">
        <v>50</v>
      </c>
      <c r="E56" s="20"/>
      <c r="F56" s="138">
        <v>11.77</v>
      </c>
      <c r="G56" s="124"/>
      <c r="I56" s="27" t="s">
        <v>81</v>
      </c>
      <c r="J56" s="49">
        <v>50</v>
      </c>
      <c r="K56" s="20"/>
      <c r="L56" s="138">
        <v>11.77</v>
      </c>
      <c r="M56" s="124"/>
      <c r="O56" s="54"/>
    </row>
    <row r="57" spans="1:21" ht="15.95" customHeight="1" x14ac:dyDescent="0.2">
      <c r="A57" s="54"/>
      <c r="C57" s="27" t="s">
        <v>82</v>
      </c>
      <c r="D57" s="49">
        <v>0</v>
      </c>
      <c r="E57" s="20"/>
      <c r="F57" s="138">
        <v>10.9</v>
      </c>
      <c r="G57" s="124"/>
      <c r="I57" s="27" t="s">
        <v>82</v>
      </c>
      <c r="J57" s="49">
        <v>0</v>
      </c>
      <c r="K57" s="20"/>
      <c r="L57" s="138">
        <v>10.9</v>
      </c>
      <c r="M57" s="124"/>
      <c r="O57" s="54"/>
    </row>
    <row r="58" spans="1:21" ht="15.95" customHeight="1" x14ac:dyDescent="0.2">
      <c r="A58" s="54"/>
      <c r="C58" s="27" t="s">
        <v>83</v>
      </c>
      <c r="D58" s="49">
        <v>0</v>
      </c>
      <c r="E58" s="20"/>
      <c r="F58" s="138">
        <v>10.29</v>
      </c>
      <c r="G58" s="124"/>
      <c r="I58" s="27" t="s">
        <v>83</v>
      </c>
      <c r="J58" s="49">
        <v>0</v>
      </c>
      <c r="K58" s="20"/>
      <c r="L58" s="138">
        <v>10.29</v>
      </c>
      <c r="M58" s="124"/>
      <c r="O58" s="54"/>
    </row>
    <row r="59" spans="1:21" ht="15.95" customHeight="1" x14ac:dyDescent="0.2">
      <c r="A59" s="54"/>
      <c r="C59" s="38" t="s">
        <v>8</v>
      </c>
      <c r="D59" s="129">
        <f>SUMIF(D56:D58,"&gt;0",D60:D62)</f>
        <v>500</v>
      </c>
      <c r="E59" s="168"/>
      <c r="F59" s="169"/>
      <c r="G59" s="127"/>
      <c r="I59" s="38" t="s">
        <v>8</v>
      </c>
      <c r="J59" s="129">
        <f>SUMIF(J56:J58,"&gt;0",J60:J62)</f>
        <v>500</v>
      </c>
      <c r="K59" s="168"/>
      <c r="L59" s="169"/>
      <c r="M59" s="127"/>
      <c r="O59" s="54"/>
    </row>
    <row r="60" spans="1:21" ht="15.95" customHeight="1" x14ac:dyDescent="0.2">
      <c r="A60" s="54"/>
      <c r="C60" s="41" t="str">
        <f>C39</f>
        <v>Centre Based Long Day Care</v>
      </c>
      <c r="D60" s="50">
        <v>500</v>
      </c>
      <c r="E60" s="22"/>
      <c r="F60" s="23"/>
      <c r="G60" s="22"/>
      <c r="I60" s="27" t="str">
        <f>C60</f>
        <v>Centre Based Long Day Care</v>
      </c>
      <c r="J60" s="50">
        <v>500</v>
      </c>
      <c r="K60" s="22"/>
      <c r="L60" s="23"/>
      <c r="M60" s="22"/>
      <c r="O60" s="54"/>
    </row>
    <row r="61" spans="1:21" ht="15.95" customHeight="1" x14ac:dyDescent="0.2">
      <c r="A61" s="54"/>
      <c r="C61" s="41" t="str">
        <f>C40</f>
        <v>Family Day Care</v>
      </c>
      <c r="D61" s="120">
        <v>0</v>
      </c>
      <c r="E61" s="22"/>
      <c r="F61" s="23"/>
      <c r="G61" s="22"/>
      <c r="I61" s="27" t="str">
        <f>C61</f>
        <v>Family Day Care</v>
      </c>
      <c r="J61" s="120">
        <v>0</v>
      </c>
      <c r="K61" s="22"/>
      <c r="L61" s="23"/>
      <c r="M61" s="22"/>
      <c r="O61" s="54"/>
    </row>
    <row r="62" spans="1:21" ht="15.95" customHeight="1" x14ac:dyDescent="0.2">
      <c r="A62" s="54"/>
      <c r="C62" s="41" t="str">
        <f>C41</f>
        <v>Outside School Hours Care</v>
      </c>
      <c r="D62" s="120">
        <v>0</v>
      </c>
      <c r="E62" s="22"/>
      <c r="F62" s="23" t="s">
        <v>102</v>
      </c>
      <c r="G62" s="22"/>
      <c r="I62" s="27" t="str">
        <f>C62</f>
        <v>Outside School Hours Care</v>
      </c>
      <c r="J62" s="120">
        <v>0</v>
      </c>
      <c r="K62" s="22"/>
      <c r="L62" s="23" t="s">
        <v>102</v>
      </c>
      <c r="M62" s="22"/>
      <c r="O62" s="54"/>
    </row>
    <row r="63" spans="1:21" ht="15.95" customHeight="1" x14ac:dyDescent="0.2">
      <c r="A63" s="54"/>
      <c r="C63" s="38" t="s">
        <v>0</v>
      </c>
      <c r="D63" s="77" t="str">
        <f>D42</f>
        <v>Maximum 50 hours of subsidy!</v>
      </c>
      <c r="E63" s="39" t="s">
        <v>1</v>
      </c>
      <c r="F63" s="40" t="s">
        <v>2</v>
      </c>
      <c r="G63" s="39" t="str">
        <f>$G$21</f>
        <v>Max Yearly Fee Eligible for CCS</v>
      </c>
      <c r="I63" s="38" t="s">
        <v>0</v>
      </c>
      <c r="J63" s="76" t="str">
        <f>D63</f>
        <v>Maximum 50 hours of subsidy!</v>
      </c>
      <c r="K63" s="39" t="s">
        <v>1</v>
      </c>
      <c r="L63" s="40" t="s">
        <v>2</v>
      </c>
      <c r="M63" s="39" t="str">
        <f>$G$21</f>
        <v>Max Yearly Fee Eligible for CCS</v>
      </c>
      <c r="O63" s="54"/>
    </row>
    <row r="64" spans="1:21" ht="15.95" customHeight="1" x14ac:dyDescent="0.2">
      <c r="A64" s="54"/>
      <c r="C64" s="41" t="str">
        <f>C43</f>
        <v>Centre Based Long Day Care</v>
      </c>
      <c r="D64" s="49">
        <v>50</v>
      </c>
      <c r="E64" s="22">
        <f>F56*$D$9</f>
        <v>6.5110855333333326</v>
      </c>
      <c r="F64" s="23">
        <f>IF(D64&gt;$E$8,$E$8,D64)*E64</f>
        <v>325.55427666666662</v>
      </c>
      <c r="G64" s="22">
        <f>IF(F64=0,0,D60/D64*(F64/E64)*D56)</f>
        <v>25000</v>
      </c>
      <c r="I64" s="27" t="str">
        <f>C64</f>
        <v>Centre Based Long Day Care</v>
      </c>
      <c r="J64" s="49">
        <v>50</v>
      </c>
      <c r="K64" s="22">
        <f>L56*$D$9</f>
        <v>6.5110855333333326</v>
      </c>
      <c r="L64" s="23">
        <f>IF(J64&gt;$E$8,$E$8,J64)*K64</f>
        <v>325.55427666666662</v>
      </c>
      <c r="M64" s="22">
        <f>IF(L64=0,0,J60/J64*(L64/K64)*J56)</f>
        <v>25000</v>
      </c>
      <c r="O64" s="54"/>
    </row>
    <row r="65" spans="1:21" ht="15.95" customHeight="1" x14ac:dyDescent="0.2">
      <c r="A65" s="54"/>
      <c r="C65" s="41" t="str">
        <f>C44</f>
        <v>Family Day Care</v>
      </c>
      <c r="D65" s="48">
        <v>0</v>
      </c>
      <c r="E65" s="22">
        <f>F57*$D$9</f>
        <v>6.0298073333333333</v>
      </c>
      <c r="F65" s="23">
        <f>IF(D65=0,0,IF(D64&gt;$E$8,0,IF(D64=0,IF(D65&gt;$E$8,$E$8,D65),IF(SUM(D64:D65)&gt;$E$8,$E$8-D64,D65))))*E65</f>
        <v>0</v>
      </c>
      <c r="G65" s="22">
        <f>IF(F65=0,0,D61/D65*(F65/E65)*D57)</f>
        <v>0</v>
      </c>
      <c r="I65" s="27" t="str">
        <f>C65</f>
        <v>Family Day Care</v>
      </c>
      <c r="J65" s="48">
        <v>0</v>
      </c>
      <c r="K65" s="22">
        <f>L57*$D$9</f>
        <v>6.0298073333333333</v>
      </c>
      <c r="L65" s="23">
        <f>IF(J65=0,0,IF(J64&gt;$E$8,0,IF(J64=0,IF(J65&gt;$E$8,$E$8,J65),IF(SUM(J64:J65)&gt;$E$8,$E$8-J64,J65))))*K65</f>
        <v>0</v>
      </c>
      <c r="M65" s="22">
        <f>IF(L65=0,0,J61/J65*(L65/K65)*J57)</f>
        <v>0</v>
      </c>
      <c r="O65" s="54"/>
    </row>
    <row r="66" spans="1:21" ht="15.95" customHeight="1" x14ac:dyDescent="0.2">
      <c r="A66" s="54"/>
      <c r="C66" s="41" t="str">
        <f>C45</f>
        <v>Outside School Hours Care</v>
      </c>
      <c r="D66" s="48">
        <v>0</v>
      </c>
      <c r="E66" s="22">
        <f>F58*$D$9</f>
        <v>5.6923593999999991</v>
      </c>
      <c r="F66" s="24">
        <f>IF(D66=0,0,IF(OR(D64&gt;$E$8,D65&gt;$E$8),0,IF(AND(D64=0,D65=0),IF(D66&gt;$E$8,$E$8,D66),IF(AND(D64&lt;&gt;0,D65=0),$E$8-D64,IF(AND(D64=0,D65&lt;&gt;0),$E$8-D65,IF(SUM(D64:D65)&gt;$E$8,0,$E$8-SUM(D64:D65)))))))*E66</f>
        <v>0</v>
      </c>
      <c r="G66" s="22">
        <f>IF(F66=0,0,D62/D66*(F66/E66)*D58)</f>
        <v>0</v>
      </c>
      <c r="I66" s="27" t="str">
        <f>C66</f>
        <v>Outside School Hours Care</v>
      </c>
      <c r="J66" s="48">
        <v>0</v>
      </c>
      <c r="K66" s="22">
        <f>L58*$D$9</f>
        <v>5.6923593999999991</v>
      </c>
      <c r="L66" s="24">
        <f>IF(J66=0,0,IF(OR(J64&gt;$E$8,J65&gt;$E$8),0,IF(AND(J64=0,J65=0),IF(J66&gt;$E$8,$E$8,J66),IF(AND(J64&lt;&gt;0,J65=0),$E$8-J64,IF(AND(J64=0,J65&lt;&gt;0),$E$8-J65,IF(SUM(J64:J65)&gt;$E$8,0,$E$8-SUM(J64:J65)))))))*K66</f>
        <v>0</v>
      </c>
      <c r="M66" s="22">
        <f>IF(L66=0,0,J62/J66*(L66/K66)*J58)</f>
        <v>0</v>
      </c>
      <c r="O66" s="54"/>
    </row>
    <row r="67" spans="1:21" ht="15.95" customHeight="1" x14ac:dyDescent="0.2">
      <c r="A67" s="54"/>
      <c r="C67" s="29" t="s">
        <v>24</v>
      </c>
      <c r="D67" s="34" t="s">
        <v>12</v>
      </c>
      <c r="E67" s="30" t="s">
        <v>11</v>
      </c>
      <c r="F67" s="43" t="s">
        <v>26</v>
      </c>
      <c r="G67" s="126"/>
      <c r="I67" s="29" t="s">
        <v>24</v>
      </c>
      <c r="J67" s="34" t="s">
        <v>12</v>
      </c>
      <c r="K67" s="30" t="s">
        <v>11</v>
      </c>
      <c r="L67" s="43" t="s">
        <v>26</v>
      </c>
      <c r="M67" s="126"/>
      <c r="O67" s="54"/>
    </row>
    <row r="68" spans="1:21" ht="15.95" customHeight="1" x14ac:dyDescent="0.2">
      <c r="A68" s="54"/>
      <c r="C68" s="27" t="s">
        <v>10</v>
      </c>
      <c r="D68" s="35">
        <f>D59</f>
        <v>500</v>
      </c>
      <c r="E68" s="22">
        <f>D56*D60+D57*D61+D58*D62</f>
        <v>25000</v>
      </c>
      <c r="F68" s="23">
        <f>E68/4</f>
        <v>6250</v>
      </c>
      <c r="G68" s="22"/>
      <c r="I68" s="27" t="s">
        <v>10</v>
      </c>
      <c r="J68" s="35">
        <f>J59</f>
        <v>500</v>
      </c>
      <c r="K68" s="22">
        <f>J56*J60+J57*J61+J58*J62</f>
        <v>25000</v>
      </c>
      <c r="L68" s="23">
        <f>K68/4</f>
        <v>6250</v>
      </c>
      <c r="M68" s="22"/>
      <c r="O68" s="54"/>
    </row>
    <row r="69" spans="1:21" ht="15.95" customHeight="1" x14ac:dyDescent="0.2">
      <c r="A69" s="54"/>
      <c r="C69" s="27" t="s">
        <v>94</v>
      </c>
      <c r="D69" s="36">
        <f>E69/D55</f>
        <v>276.59666666666664</v>
      </c>
      <c r="E69" s="22">
        <f>IF($D$6&gt;Rates!$D$15,MIN(Rates!$E$15,F64*D56+F65*D57+F66*D58,SUM(G64:G66)*$D$9),MIN(F64*D56+F65*D57+F66*D58,SUM(G64:G66)*$D$9))</f>
        <v>13829.833333333332</v>
      </c>
      <c r="F69" s="23">
        <f>E69/4</f>
        <v>3457.458333333333</v>
      </c>
      <c r="G69" s="22"/>
      <c r="I69" s="27" t="s">
        <v>94</v>
      </c>
      <c r="J69" s="36">
        <f>K69/J55</f>
        <v>276.59666666666664</v>
      </c>
      <c r="K69" s="22">
        <f>IF($D$6&gt;Rates!$D$15,MIN(Rates!$E$15,L64*J56+L65*J57+L66*J58,SUM(M64:M66)*$D$9),MIN(L64*J56+L65*J57+L66*J58,SUM(M64:M66)*$D$9))</f>
        <v>13829.833333333332</v>
      </c>
      <c r="L69" s="23">
        <f>K69/4</f>
        <v>3457.458333333333</v>
      </c>
      <c r="M69" s="22"/>
      <c r="O69" s="54"/>
    </row>
    <row r="70" spans="1:21" ht="15.95" customHeight="1" x14ac:dyDescent="0.2">
      <c r="A70" s="54"/>
      <c r="C70" s="27" t="str">
        <f>C49</f>
        <v>5% CCS Withholding</v>
      </c>
      <c r="D70" s="36">
        <f>D69*Rates!$E$30</f>
        <v>13.829833333333333</v>
      </c>
      <c r="E70" s="22">
        <f>E69*Rates!$E$30</f>
        <v>691.49166666666667</v>
      </c>
      <c r="F70" s="23">
        <f>F69*Rates!$E$30</f>
        <v>172.87291666666667</v>
      </c>
      <c r="G70" s="22"/>
      <c r="H70" s="1"/>
      <c r="I70" s="27" t="str">
        <f>I49</f>
        <v>5% CCS Withholding</v>
      </c>
      <c r="J70" s="36">
        <f>J69*Rates!$E$30</f>
        <v>13.829833333333333</v>
      </c>
      <c r="K70" s="22">
        <f>K69*Rates!$E$30</f>
        <v>691.49166666666667</v>
      </c>
      <c r="L70" s="23">
        <f>L69*Rates!$E$30</f>
        <v>172.87291666666667</v>
      </c>
      <c r="M70" s="22"/>
      <c r="O70" s="54"/>
    </row>
    <row r="71" spans="1:21" ht="15.95" customHeight="1" x14ac:dyDescent="0.2">
      <c r="A71" s="54"/>
      <c r="C71" s="27" t="str">
        <f>C50</f>
        <v>CCS Paid to Service Provider</v>
      </c>
      <c r="D71" s="35">
        <f t="shared" ref="D71:F71" si="8">D69-D70</f>
        <v>262.7668333333333</v>
      </c>
      <c r="E71" s="35">
        <f t="shared" si="8"/>
        <v>13138.341666666665</v>
      </c>
      <c r="F71" s="23">
        <f t="shared" si="8"/>
        <v>3284.5854166666663</v>
      </c>
      <c r="G71" s="22"/>
      <c r="I71" s="27" t="str">
        <f>I50</f>
        <v>CCS Paid to Service Provider</v>
      </c>
      <c r="J71" s="35">
        <f t="shared" ref="J71:L71" si="9">J69-J70</f>
        <v>262.7668333333333</v>
      </c>
      <c r="K71" s="35">
        <f t="shared" si="9"/>
        <v>13138.341666666665</v>
      </c>
      <c r="L71" s="23">
        <f t="shared" si="9"/>
        <v>3284.5854166666663</v>
      </c>
      <c r="M71" s="22"/>
      <c r="O71" s="54"/>
    </row>
    <row r="72" spans="1:21" ht="15.95" customHeight="1" x14ac:dyDescent="0.2">
      <c r="A72" s="54"/>
      <c r="C72" s="27" t="str">
        <f>C51</f>
        <v>Out-of-pocket Child Care Cost</v>
      </c>
      <c r="D72" s="35">
        <f>D68-D71</f>
        <v>237.2331666666667</v>
      </c>
      <c r="E72" s="35">
        <f>E68-E71</f>
        <v>11861.658333333335</v>
      </c>
      <c r="F72" s="23">
        <f>F68-F71</f>
        <v>2965.4145833333337</v>
      </c>
      <c r="G72" s="22"/>
      <c r="I72" s="27" t="str">
        <f>I51</f>
        <v>Out-of-pocket Child Care Cost</v>
      </c>
      <c r="J72" s="35">
        <f>J68-J71</f>
        <v>237.2331666666667</v>
      </c>
      <c r="K72" s="35">
        <f>K68-K71</f>
        <v>11861.658333333335</v>
      </c>
      <c r="L72" s="23">
        <f>L68-L71</f>
        <v>2965.4145833333337</v>
      </c>
      <c r="M72" s="22"/>
      <c r="O72" s="54"/>
    </row>
    <row r="73" spans="1:21" ht="15.95" customHeight="1" x14ac:dyDescent="0.2">
      <c r="A73" s="54"/>
      <c r="C73" s="28" t="str">
        <f>C52</f>
        <v>Child Care Cost after EOY Reconciliation</v>
      </c>
      <c r="D73" s="37">
        <f>D68-D69</f>
        <v>223.40333333333336</v>
      </c>
      <c r="E73" s="37">
        <f t="shared" ref="E73:F73" si="10">E68-E69</f>
        <v>11170.166666666668</v>
      </c>
      <c r="F73" s="24">
        <f t="shared" si="10"/>
        <v>2792.541666666667</v>
      </c>
      <c r="G73" s="22"/>
      <c r="H73" s="1"/>
      <c r="I73" s="28" t="str">
        <f>C73</f>
        <v>Child Care Cost after EOY Reconciliation</v>
      </c>
      <c r="J73" s="37">
        <f>J68-J69</f>
        <v>223.40333333333336</v>
      </c>
      <c r="K73" s="37">
        <f t="shared" ref="K73:L73" si="11">K68-K69</f>
        <v>11170.166666666668</v>
      </c>
      <c r="L73" s="24">
        <f t="shared" si="11"/>
        <v>2792.541666666667</v>
      </c>
      <c r="M73" s="22"/>
      <c r="O73" s="54"/>
    </row>
    <row r="74" spans="1:21" s="15" customFormat="1" ht="15.95" customHeight="1" x14ac:dyDescent="0.2">
      <c r="A74" s="54"/>
      <c r="C74" s="25"/>
      <c r="E74" s="26"/>
      <c r="F74" s="26"/>
      <c r="G74" s="26"/>
      <c r="I74" s="25"/>
      <c r="K74" s="26"/>
      <c r="L74" s="26"/>
      <c r="M74" s="26"/>
      <c r="O74" s="54"/>
      <c r="P74" s="12"/>
      <c r="Q74" s="12"/>
      <c r="R74" s="12"/>
      <c r="S74" s="12"/>
      <c r="T74" s="12"/>
      <c r="U74" s="12"/>
    </row>
    <row r="75" spans="1:21" ht="15.95" customHeight="1" x14ac:dyDescent="0.2">
      <c r="A75" s="54"/>
      <c r="C75" s="16" t="s">
        <v>19</v>
      </c>
      <c r="D75" s="17"/>
      <c r="E75" s="18"/>
      <c r="F75" s="19"/>
      <c r="G75" s="123"/>
      <c r="I75" s="16" t="s">
        <v>20</v>
      </c>
      <c r="J75" s="17"/>
      <c r="K75" s="18"/>
      <c r="L75" s="19"/>
      <c r="M75" s="123"/>
      <c r="O75" s="54"/>
    </row>
    <row r="76" spans="1:21" ht="15.95" customHeight="1" x14ac:dyDescent="0.2">
      <c r="A76" s="54"/>
      <c r="C76" s="38" t="s">
        <v>9</v>
      </c>
      <c r="D76" s="136">
        <f>MAX(D77:D79)</f>
        <v>50</v>
      </c>
      <c r="E76" s="20"/>
      <c r="F76" s="21" t="s">
        <v>118</v>
      </c>
      <c r="G76" s="124"/>
      <c r="I76" s="38" t="s">
        <v>9</v>
      </c>
      <c r="J76" s="136">
        <f>MAX(J77:J79)</f>
        <v>50</v>
      </c>
      <c r="K76" s="20"/>
      <c r="L76" s="21" t="s">
        <v>118</v>
      </c>
      <c r="M76" s="124"/>
      <c r="O76" s="54"/>
    </row>
    <row r="77" spans="1:21" ht="15.95" customHeight="1" x14ac:dyDescent="0.2">
      <c r="A77" s="54"/>
      <c r="C77" s="27" t="s">
        <v>81</v>
      </c>
      <c r="D77" s="49">
        <v>50</v>
      </c>
      <c r="E77" s="20"/>
      <c r="F77" s="138">
        <v>11.77</v>
      </c>
      <c r="G77" s="124"/>
      <c r="I77" s="27" t="s">
        <v>81</v>
      </c>
      <c r="J77" s="49">
        <v>50</v>
      </c>
      <c r="K77" s="20"/>
      <c r="L77" s="138">
        <v>11.77</v>
      </c>
      <c r="M77" s="124"/>
      <c r="O77" s="54"/>
    </row>
    <row r="78" spans="1:21" ht="15.95" customHeight="1" x14ac:dyDescent="0.2">
      <c r="A78" s="54"/>
      <c r="C78" s="27" t="s">
        <v>82</v>
      </c>
      <c r="D78" s="49">
        <v>0</v>
      </c>
      <c r="E78" s="20"/>
      <c r="F78" s="138">
        <v>10.9</v>
      </c>
      <c r="G78" s="124"/>
      <c r="I78" s="27" t="s">
        <v>82</v>
      </c>
      <c r="J78" s="49">
        <v>0</v>
      </c>
      <c r="K78" s="20"/>
      <c r="L78" s="138">
        <v>10.9</v>
      </c>
      <c r="M78" s="124"/>
      <c r="O78" s="54"/>
    </row>
    <row r="79" spans="1:21" ht="15.95" customHeight="1" x14ac:dyDescent="0.2">
      <c r="A79" s="54"/>
      <c r="C79" s="27" t="s">
        <v>83</v>
      </c>
      <c r="D79" s="49">
        <v>0</v>
      </c>
      <c r="E79" s="20"/>
      <c r="F79" s="138">
        <v>10.29</v>
      </c>
      <c r="G79" s="124"/>
      <c r="I79" s="27" t="s">
        <v>83</v>
      </c>
      <c r="J79" s="49">
        <v>0</v>
      </c>
      <c r="K79" s="20"/>
      <c r="L79" s="138">
        <v>10.29</v>
      </c>
      <c r="M79" s="124"/>
      <c r="O79" s="54"/>
    </row>
    <row r="80" spans="1:21" ht="15.95" customHeight="1" x14ac:dyDescent="0.2">
      <c r="A80" s="54"/>
      <c r="C80" s="38" t="s">
        <v>8</v>
      </c>
      <c r="D80" s="129">
        <f>SUMIF(D77:D79,"&gt;0",D81:D83)</f>
        <v>500</v>
      </c>
      <c r="E80" s="168"/>
      <c r="F80" s="169"/>
      <c r="G80" s="127"/>
      <c r="I80" s="38" t="s">
        <v>8</v>
      </c>
      <c r="J80" s="129">
        <f>SUMIF(J77:J79,"&gt;0",J81:J83)</f>
        <v>500</v>
      </c>
      <c r="K80" s="168"/>
      <c r="L80" s="169"/>
      <c r="M80" s="127"/>
      <c r="O80" s="54"/>
    </row>
    <row r="81" spans="1:21" ht="15.95" customHeight="1" x14ac:dyDescent="0.2">
      <c r="A81" s="54"/>
      <c r="C81" s="41" t="str">
        <f>C60</f>
        <v>Centre Based Long Day Care</v>
      </c>
      <c r="D81" s="50">
        <v>500</v>
      </c>
      <c r="E81" s="22"/>
      <c r="F81" s="23"/>
      <c r="G81" s="22"/>
      <c r="I81" s="27" t="str">
        <f>C81</f>
        <v>Centre Based Long Day Care</v>
      </c>
      <c r="J81" s="50">
        <v>500</v>
      </c>
      <c r="K81" s="22"/>
      <c r="L81" s="23"/>
      <c r="M81" s="22"/>
      <c r="O81" s="54"/>
    </row>
    <row r="82" spans="1:21" ht="15.95" customHeight="1" x14ac:dyDescent="0.2">
      <c r="A82" s="54"/>
      <c r="C82" s="41" t="str">
        <f>C61</f>
        <v>Family Day Care</v>
      </c>
      <c r="D82" s="120">
        <v>0</v>
      </c>
      <c r="E82" s="22"/>
      <c r="F82" s="23"/>
      <c r="G82" s="22"/>
      <c r="I82" s="27" t="str">
        <f>C82</f>
        <v>Family Day Care</v>
      </c>
      <c r="J82" s="120">
        <v>0</v>
      </c>
      <c r="K82" s="22"/>
      <c r="L82" s="23"/>
      <c r="M82" s="22"/>
      <c r="O82" s="54"/>
    </row>
    <row r="83" spans="1:21" ht="15.95" customHeight="1" x14ac:dyDescent="0.2">
      <c r="A83" s="54"/>
      <c r="C83" s="41" t="str">
        <f>C62</f>
        <v>Outside School Hours Care</v>
      </c>
      <c r="D83" s="120">
        <v>0</v>
      </c>
      <c r="E83" s="22"/>
      <c r="F83" s="23" t="s">
        <v>102</v>
      </c>
      <c r="G83" s="22"/>
      <c r="I83" s="27" t="str">
        <f>C83</f>
        <v>Outside School Hours Care</v>
      </c>
      <c r="J83" s="120">
        <v>0</v>
      </c>
      <c r="K83" s="22"/>
      <c r="L83" s="23" t="s">
        <v>102</v>
      </c>
      <c r="M83" s="22"/>
      <c r="O83" s="54"/>
    </row>
    <row r="84" spans="1:21" ht="15.95" customHeight="1" x14ac:dyDescent="0.2">
      <c r="A84" s="54"/>
      <c r="C84" s="38" t="s">
        <v>0</v>
      </c>
      <c r="D84" s="77" t="str">
        <f>D63</f>
        <v>Maximum 50 hours of subsidy!</v>
      </c>
      <c r="E84" s="39" t="s">
        <v>1</v>
      </c>
      <c r="F84" s="40" t="s">
        <v>2</v>
      </c>
      <c r="G84" s="39" t="str">
        <f>$G$21</f>
        <v>Max Yearly Fee Eligible for CCS</v>
      </c>
      <c r="I84" s="38" t="s">
        <v>0</v>
      </c>
      <c r="J84" s="76" t="str">
        <f>D84</f>
        <v>Maximum 50 hours of subsidy!</v>
      </c>
      <c r="K84" s="39" t="s">
        <v>1</v>
      </c>
      <c r="L84" s="40" t="s">
        <v>2</v>
      </c>
      <c r="M84" s="39" t="str">
        <f>$G$21</f>
        <v>Max Yearly Fee Eligible for CCS</v>
      </c>
      <c r="O84" s="54"/>
    </row>
    <row r="85" spans="1:21" ht="15.95" customHeight="1" x14ac:dyDescent="0.2">
      <c r="A85" s="54"/>
      <c r="C85" s="41" t="str">
        <f>C64</f>
        <v>Centre Based Long Day Care</v>
      </c>
      <c r="D85" s="49">
        <v>50</v>
      </c>
      <c r="E85" s="22">
        <f>F77*$D$9</f>
        <v>6.5110855333333326</v>
      </c>
      <c r="F85" s="23">
        <f>IF(D85&gt;$E$8,$E$8,D85)*E85</f>
        <v>325.55427666666662</v>
      </c>
      <c r="G85" s="22">
        <f>IF(F85=0,0,D81/D85*(F85/E85)*D77)</f>
        <v>25000</v>
      </c>
      <c r="I85" s="27" t="str">
        <f>C85</f>
        <v>Centre Based Long Day Care</v>
      </c>
      <c r="J85" s="49">
        <v>50</v>
      </c>
      <c r="K85" s="22">
        <f>L77*$D$9</f>
        <v>6.5110855333333326</v>
      </c>
      <c r="L85" s="23">
        <f>IF(J85&gt;$E$8,$E$8,J85)*K85</f>
        <v>325.55427666666662</v>
      </c>
      <c r="M85" s="22">
        <f>IF(L85=0,0,J81/J85*(L85/K85)*J77)</f>
        <v>25000</v>
      </c>
      <c r="O85" s="54"/>
    </row>
    <row r="86" spans="1:21" ht="15.95" customHeight="1" x14ac:dyDescent="0.2">
      <c r="A86" s="54"/>
      <c r="C86" s="41" t="str">
        <f>C65</f>
        <v>Family Day Care</v>
      </c>
      <c r="D86" s="48">
        <v>0</v>
      </c>
      <c r="E86" s="22">
        <f>F78*$D$9</f>
        <v>6.0298073333333333</v>
      </c>
      <c r="F86" s="23">
        <f>IF(D86=0,0,IF(D85&gt;$E$8,0,IF(D85=0,IF(D86&gt;$E$8,$E$8,D86),IF(SUM(D85:D86)&gt;$E$8,$E$8-D85,D86))))*E86</f>
        <v>0</v>
      </c>
      <c r="G86" s="22">
        <f>IF(F86=0,0,D82/D86*(F86/E86)*D78)</f>
        <v>0</v>
      </c>
      <c r="I86" s="27" t="str">
        <f>C86</f>
        <v>Family Day Care</v>
      </c>
      <c r="J86" s="48">
        <v>0</v>
      </c>
      <c r="K86" s="22">
        <f>L78*$D$9</f>
        <v>6.0298073333333333</v>
      </c>
      <c r="L86" s="23">
        <f>IF(J86=0,0,IF(J85&gt;$E$8,0,IF(J85=0,IF(J86&gt;$E$8,$E$8,J86),IF(SUM(J85:J86)&gt;$E$8,$E$8-J85,J86))))*K86</f>
        <v>0</v>
      </c>
      <c r="M86" s="22">
        <f>IF(L86=0,0,J82/J86*(L86/K86)*J78)</f>
        <v>0</v>
      </c>
      <c r="O86" s="54"/>
    </row>
    <row r="87" spans="1:21" ht="15.95" customHeight="1" x14ac:dyDescent="0.2">
      <c r="A87" s="54"/>
      <c r="C87" s="41" t="str">
        <f>C66</f>
        <v>Outside School Hours Care</v>
      </c>
      <c r="D87" s="48">
        <v>0</v>
      </c>
      <c r="E87" s="22">
        <f>F79*$D$9</f>
        <v>5.6923593999999991</v>
      </c>
      <c r="F87" s="24">
        <f>IF(D87=0,0,IF(OR(D85&gt;$E$8,D86&gt;$E$8),0,IF(AND(D85=0,D86=0),IF(D87&gt;$E$8,$E$8,D87),IF(AND(D85&lt;&gt;0,D86=0),$E$8-D85,IF(AND(D85=0,D86&lt;&gt;0),$E$8-D86,IF(SUM(D85:D86)&gt;$E$8,0,$E$8-SUM(D85:D86)))))))*E87</f>
        <v>0</v>
      </c>
      <c r="G87" s="22">
        <f>IF(F87=0,0,D83/D87*(F87/E87)*D79)</f>
        <v>0</v>
      </c>
      <c r="I87" s="27" t="str">
        <f>C87</f>
        <v>Outside School Hours Care</v>
      </c>
      <c r="J87" s="48">
        <v>0</v>
      </c>
      <c r="K87" s="22">
        <f>L79*$D$9</f>
        <v>5.6923593999999991</v>
      </c>
      <c r="L87" s="24">
        <f>IF(J87=0,0,IF(OR(J85&gt;$E$8,J86&gt;$E$8),0,IF(AND(J85=0,J86=0),IF(J87&gt;$E$8,$E$8,J87),IF(AND(J85&lt;&gt;0,J86=0),$E$8-J85,IF(AND(J85=0,J86&lt;&gt;0),$E$8-J86,IF(SUM(J85:J86)&gt;$E$8,0,$E$8-SUM(J85:J86)))))))*K87</f>
        <v>0</v>
      </c>
      <c r="M87" s="22">
        <f>IF(L87=0,0,J83/J87*(L87/K87)*J79)</f>
        <v>0</v>
      </c>
      <c r="O87" s="54"/>
    </row>
    <row r="88" spans="1:21" ht="15.95" customHeight="1" x14ac:dyDescent="0.2">
      <c r="A88" s="54"/>
      <c r="C88" s="29" t="s">
        <v>24</v>
      </c>
      <c r="D88" s="34" t="s">
        <v>12</v>
      </c>
      <c r="E88" s="30" t="s">
        <v>11</v>
      </c>
      <c r="F88" s="43" t="s">
        <v>26</v>
      </c>
      <c r="G88" s="126"/>
      <c r="I88" s="29" t="s">
        <v>24</v>
      </c>
      <c r="J88" s="34" t="s">
        <v>12</v>
      </c>
      <c r="K88" s="30" t="s">
        <v>11</v>
      </c>
      <c r="L88" s="43" t="s">
        <v>26</v>
      </c>
      <c r="M88" s="126"/>
      <c r="O88" s="54"/>
    </row>
    <row r="89" spans="1:21" ht="15.95" customHeight="1" x14ac:dyDescent="0.2">
      <c r="A89" s="54"/>
      <c r="C89" s="27" t="s">
        <v>10</v>
      </c>
      <c r="D89" s="35">
        <f>D80</f>
        <v>500</v>
      </c>
      <c r="E89" s="22">
        <f>D77*D81+D78*D82+D79*D83</f>
        <v>25000</v>
      </c>
      <c r="F89" s="23">
        <f>E89/4</f>
        <v>6250</v>
      </c>
      <c r="G89" s="22"/>
      <c r="I89" s="27" t="s">
        <v>10</v>
      </c>
      <c r="J89" s="35">
        <f>J80</f>
        <v>500</v>
      </c>
      <c r="K89" s="22">
        <f>J77*J81+J78*J82+J79*J83</f>
        <v>25000</v>
      </c>
      <c r="L89" s="23">
        <f>K89/4</f>
        <v>6250</v>
      </c>
      <c r="M89" s="22"/>
      <c r="O89" s="54"/>
    </row>
    <row r="90" spans="1:21" ht="15.95" customHeight="1" x14ac:dyDescent="0.2">
      <c r="A90" s="54"/>
      <c r="C90" s="27" t="s">
        <v>94</v>
      </c>
      <c r="D90" s="36">
        <f>E90/D76</f>
        <v>276.59666666666664</v>
      </c>
      <c r="E90" s="22">
        <f>IF($D$6&gt;Rates!$D$15,MIN(Rates!$E$15,F85*D77+F86*D78+F87*D79,SUM(G85:G87)*$D$9),MIN(F85*D77+F86*D78+F87*D79,SUM(G85:G87)*$D$9))</f>
        <v>13829.833333333332</v>
      </c>
      <c r="F90" s="23">
        <f>E90/4</f>
        <v>3457.458333333333</v>
      </c>
      <c r="G90" s="22"/>
      <c r="I90" s="27" t="s">
        <v>94</v>
      </c>
      <c r="J90" s="36">
        <f>K90/J76</f>
        <v>276.59666666666664</v>
      </c>
      <c r="K90" s="22">
        <f>IF($D$6&gt;Rates!$D$15,MIN(Rates!$E$15,L85*J77+L86*J78+L87*J79,SUM(M85:M87)*$D$9),MIN(L85*J77+L86*J78+L87*J79,SUM(M85:M87)*$D$9))</f>
        <v>13829.833333333332</v>
      </c>
      <c r="L90" s="23">
        <f>K90/4</f>
        <v>3457.458333333333</v>
      </c>
      <c r="M90" s="22"/>
      <c r="O90" s="54"/>
    </row>
    <row r="91" spans="1:21" ht="15.95" customHeight="1" x14ac:dyDescent="0.2">
      <c r="A91" s="54"/>
      <c r="C91" s="27" t="str">
        <f>C70</f>
        <v>5% CCS Withholding</v>
      </c>
      <c r="D91" s="36">
        <f>D90*Rates!$E$30</f>
        <v>13.829833333333333</v>
      </c>
      <c r="E91" s="22">
        <f>E90*Rates!$E$30</f>
        <v>691.49166666666667</v>
      </c>
      <c r="F91" s="23">
        <f>F90*Rates!$E$30</f>
        <v>172.87291666666667</v>
      </c>
      <c r="G91" s="22"/>
      <c r="H91" s="1"/>
      <c r="I91" s="27" t="str">
        <f>I70</f>
        <v>5% CCS Withholding</v>
      </c>
      <c r="J91" s="36">
        <f>J90*Rates!$E$30</f>
        <v>13.829833333333333</v>
      </c>
      <c r="K91" s="22">
        <f>K90*Rates!$E$30</f>
        <v>691.49166666666667</v>
      </c>
      <c r="L91" s="23">
        <f>L90*Rates!$E$30</f>
        <v>172.87291666666667</v>
      </c>
      <c r="M91" s="22"/>
      <c r="O91" s="54"/>
    </row>
    <row r="92" spans="1:21" ht="15.95" customHeight="1" x14ac:dyDescent="0.2">
      <c r="A92" s="54"/>
      <c r="C92" s="27" t="str">
        <f>C71</f>
        <v>CCS Paid to Service Provider</v>
      </c>
      <c r="D92" s="35">
        <f t="shared" ref="D92:F92" si="12">D90-D91</f>
        <v>262.7668333333333</v>
      </c>
      <c r="E92" s="35">
        <f t="shared" si="12"/>
        <v>13138.341666666665</v>
      </c>
      <c r="F92" s="23">
        <f t="shared" si="12"/>
        <v>3284.5854166666663</v>
      </c>
      <c r="G92" s="22"/>
      <c r="I92" s="27" t="str">
        <f>I71</f>
        <v>CCS Paid to Service Provider</v>
      </c>
      <c r="J92" s="35">
        <f t="shared" ref="J92:L92" si="13">J90-J91</f>
        <v>262.7668333333333</v>
      </c>
      <c r="K92" s="35">
        <f t="shared" si="13"/>
        <v>13138.341666666665</v>
      </c>
      <c r="L92" s="23">
        <f t="shared" si="13"/>
        <v>3284.5854166666663</v>
      </c>
      <c r="M92" s="22"/>
      <c r="O92" s="54"/>
    </row>
    <row r="93" spans="1:21" ht="15.95" customHeight="1" x14ac:dyDescent="0.2">
      <c r="A93" s="54"/>
      <c r="C93" s="27" t="str">
        <f>C72</f>
        <v>Out-of-pocket Child Care Cost</v>
      </c>
      <c r="D93" s="35">
        <f>D89-D92</f>
        <v>237.2331666666667</v>
      </c>
      <c r="E93" s="35">
        <f>E89-E92</f>
        <v>11861.658333333335</v>
      </c>
      <c r="F93" s="23">
        <f>F89-F92</f>
        <v>2965.4145833333337</v>
      </c>
      <c r="G93" s="22"/>
      <c r="I93" s="27" t="str">
        <f>I72</f>
        <v>Out-of-pocket Child Care Cost</v>
      </c>
      <c r="J93" s="35">
        <f>J89-J92</f>
        <v>237.2331666666667</v>
      </c>
      <c r="K93" s="35">
        <f>K89-K92</f>
        <v>11861.658333333335</v>
      </c>
      <c r="L93" s="23">
        <f>L89-L92</f>
        <v>2965.4145833333337</v>
      </c>
      <c r="M93" s="22"/>
      <c r="O93" s="54"/>
    </row>
    <row r="94" spans="1:21" ht="15.95" customHeight="1" x14ac:dyDescent="0.2">
      <c r="A94" s="54"/>
      <c r="C94" s="28" t="str">
        <f>C73</f>
        <v>Child Care Cost after EOY Reconciliation</v>
      </c>
      <c r="D94" s="37">
        <f>D89-D90</f>
        <v>223.40333333333336</v>
      </c>
      <c r="E94" s="37">
        <f t="shared" ref="E94:F94" si="14">E89-E90</f>
        <v>11170.166666666668</v>
      </c>
      <c r="F94" s="24">
        <f t="shared" si="14"/>
        <v>2792.541666666667</v>
      </c>
      <c r="G94" s="22"/>
      <c r="H94" s="1"/>
      <c r="I94" s="28" t="str">
        <f>C94</f>
        <v>Child Care Cost after EOY Reconciliation</v>
      </c>
      <c r="J94" s="37">
        <f>J89-J90</f>
        <v>223.40333333333336</v>
      </c>
      <c r="K94" s="37">
        <f t="shared" ref="K94:L94" si="15">K89-K90</f>
        <v>11170.166666666668</v>
      </c>
      <c r="L94" s="24">
        <f t="shared" si="15"/>
        <v>2792.541666666667</v>
      </c>
      <c r="M94" s="22"/>
      <c r="O94" s="54"/>
    </row>
    <row r="95" spans="1:21" s="15" customFormat="1" ht="15.95" customHeight="1" x14ac:dyDescent="0.2">
      <c r="A95" s="54"/>
      <c r="C95" s="25"/>
      <c r="E95" s="26"/>
      <c r="F95" s="26"/>
      <c r="G95" s="26"/>
      <c r="I95" s="25"/>
      <c r="K95" s="26"/>
      <c r="L95" s="26"/>
      <c r="M95" s="26"/>
      <c r="O95" s="54"/>
      <c r="P95" s="12"/>
      <c r="Q95" s="12"/>
      <c r="R95" s="12"/>
      <c r="S95" s="12"/>
      <c r="T95" s="12"/>
      <c r="U95" s="12"/>
    </row>
    <row r="96" spans="1:21" ht="15.95" customHeight="1" x14ac:dyDescent="0.2">
      <c r="A96" s="54"/>
      <c r="C96" s="16" t="s">
        <v>21</v>
      </c>
      <c r="D96" s="17"/>
      <c r="E96" s="18"/>
      <c r="F96" s="19"/>
      <c r="G96" s="123"/>
      <c r="I96" s="16" t="s">
        <v>22</v>
      </c>
      <c r="J96" s="17"/>
      <c r="K96" s="18"/>
      <c r="L96" s="19"/>
      <c r="M96" s="123"/>
      <c r="O96" s="54"/>
    </row>
    <row r="97" spans="1:15" ht="15.95" customHeight="1" x14ac:dyDescent="0.2">
      <c r="A97" s="54"/>
      <c r="C97" s="38" t="s">
        <v>9</v>
      </c>
      <c r="D97" s="136">
        <f>MAX(D98:D100)</f>
        <v>50</v>
      </c>
      <c r="E97" s="20"/>
      <c r="F97" s="21" t="s">
        <v>118</v>
      </c>
      <c r="G97" s="124"/>
      <c r="I97" s="38" t="s">
        <v>9</v>
      </c>
      <c r="J97" s="136">
        <f>MAX(J98:J100)</f>
        <v>50</v>
      </c>
      <c r="K97" s="20"/>
      <c r="L97" s="21" t="s">
        <v>118</v>
      </c>
      <c r="M97" s="124"/>
      <c r="O97" s="54"/>
    </row>
    <row r="98" spans="1:15" ht="15.95" customHeight="1" x14ac:dyDescent="0.2">
      <c r="A98" s="54"/>
      <c r="C98" s="27" t="s">
        <v>81</v>
      </c>
      <c r="D98" s="49">
        <v>50</v>
      </c>
      <c r="E98" s="20"/>
      <c r="F98" s="138">
        <v>11.77</v>
      </c>
      <c r="G98" s="124"/>
      <c r="I98" s="27" t="s">
        <v>81</v>
      </c>
      <c r="J98" s="49">
        <v>50</v>
      </c>
      <c r="K98" s="20"/>
      <c r="L98" s="138">
        <v>11.77</v>
      </c>
      <c r="M98" s="124"/>
      <c r="O98" s="54"/>
    </row>
    <row r="99" spans="1:15" ht="15.95" customHeight="1" x14ac:dyDescent="0.2">
      <c r="A99" s="54"/>
      <c r="C99" s="27" t="s">
        <v>82</v>
      </c>
      <c r="D99" s="49">
        <v>0</v>
      </c>
      <c r="E99" s="20"/>
      <c r="F99" s="138">
        <v>10.9</v>
      </c>
      <c r="G99" s="124"/>
      <c r="I99" s="27" t="s">
        <v>82</v>
      </c>
      <c r="J99" s="49">
        <v>0</v>
      </c>
      <c r="K99" s="20"/>
      <c r="L99" s="138">
        <v>10.9</v>
      </c>
      <c r="M99" s="124"/>
      <c r="O99" s="54"/>
    </row>
    <row r="100" spans="1:15" ht="15.95" customHeight="1" x14ac:dyDescent="0.2">
      <c r="A100" s="54"/>
      <c r="C100" s="27" t="s">
        <v>83</v>
      </c>
      <c r="D100" s="49">
        <v>0</v>
      </c>
      <c r="E100" s="20"/>
      <c r="F100" s="138">
        <v>10.29</v>
      </c>
      <c r="G100" s="124"/>
      <c r="I100" s="27" t="s">
        <v>83</v>
      </c>
      <c r="J100" s="49">
        <v>0</v>
      </c>
      <c r="K100" s="20"/>
      <c r="L100" s="138">
        <v>10.29</v>
      </c>
      <c r="M100" s="124"/>
      <c r="O100" s="54"/>
    </row>
    <row r="101" spans="1:15" ht="15.95" customHeight="1" x14ac:dyDescent="0.2">
      <c r="A101" s="54"/>
      <c r="C101" s="38" t="s">
        <v>8</v>
      </c>
      <c r="D101" s="129">
        <f>SUMIF(D98:D100,"&gt;0",D102:D104)</f>
        <v>500</v>
      </c>
      <c r="E101" s="170"/>
      <c r="F101" s="171"/>
      <c r="G101" s="127"/>
      <c r="I101" s="38" t="s">
        <v>8</v>
      </c>
      <c r="J101" s="129">
        <f>SUMIF(J98:J100,"&gt;0",J102:J104)</f>
        <v>500</v>
      </c>
      <c r="K101" s="168"/>
      <c r="L101" s="169"/>
      <c r="M101" s="127"/>
      <c r="O101" s="54"/>
    </row>
    <row r="102" spans="1:15" ht="15.95" customHeight="1" x14ac:dyDescent="0.2">
      <c r="A102" s="54"/>
      <c r="C102" s="41" t="str">
        <f>C81</f>
        <v>Centre Based Long Day Care</v>
      </c>
      <c r="D102" s="50">
        <v>500</v>
      </c>
      <c r="E102" s="22"/>
      <c r="F102" s="23"/>
      <c r="G102" s="22"/>
      <c r="I102" s="27" t="str">
        <f>C102</f>
        <v>Centre Based Long Day Care</v>
      </c>
      <c r="J102" s="50">
        <v>500</v>
      </c>
      <c r="K102" s="22"/>
      <c r="L102" s="23"/>
      <c r="M102" s="22"/>
      <c r="O102" s="54"/>
    </row>
    <row r="103" spans="1:15" ht="15.95" customHeight="1" x14ac:dyDescent="0.2">
      <c r="A103" s="54"/>
      <c r="C103" s="41" t="str">
        <f>C82</f>
        <v>Family Day Care</v>
      </c>
      <c r="D103" s="120">
        <v>0</v>
      </c>
      <c r="E103" s="22"/>
      <c r="F103" s="23"/>
      <c r="G103" s="22"/>
      <c r="I103" s="27" t="str">
        <f>C103</f>
        <v>Family Day Care</v>
      </c>
      <c r="J103" s="120">
        <v>0</v>
      </c>
      <c r="K103" s="22"/>
      <c r="L103" s="23"/>
      <c r="M103" s="22"/>
      <c r="O103" s="54"/>
    </row>
    <row r="104" spans="1:15" ht="15.95" customHeight="1" x14ac:dyDescent="0.2">
      <c r="A104" s="54"/>
      <c r="C104" s="41" t="str">
        <f>C83</f>
        <v>Outside School Hours Care</v>
      </c>
      <c r="D104" s="120">
        <v>0</v>
      </c>
      <c r="E104" s="22"/>
      <c r="F104" s="23" t="s">
        <v>102</v>
      </c>
      <c r="G104" s="22"/>
      <c r="I104" s="27" t="str">
        <f>C104</f>
        <v>Outside School Hours Care</v>
      </c>
      <c r="J104" s="120">
        <v>0</v>
      </c>
      <c r="K104" s="22"/>
      <c r="L104" s="23" t="s">
        <v>102</v>
      </c>
      <c r="M104" s="22"/>
      <c r="O104" s="54"/>
    </row>
    <row r="105" spans="1:15" ht="15.95" customHeight="1" x14ac:dyDescent="0.2">
      <c r="A105" s="54"/>
      <c r="C105" s="38" t="s">
        <v>0</v>
      </c>
      <c r="D105" s="77" t="str">
        <f>D84</f>
        <v>Maximum 50 hours of subsidy!</v>
      </c>
      <c r="E105" s="39" t="s">
        <v>1</v>
      </c>
      <c r="F105" s="40" t="s">
        <v>2</v>
      </c>
      <c r="G105" s="39" t="str">
        <f>$G$21</f>
        <v>Max Yearly Fee Eligible for CCS</v>
      </c>
      <c r="I105" s="38" t="s">
        <v>0</v>
      </c>
      <c r="J105" s="76" t="str">
        <f>D105</f>
        <v>Maximum 50 hours of subsidy!</v>
      </c>
      <c r="K105" s="39" t="s">
        <v>1</v>
      </c>
      <c r="L105" s="40" t="s">
        <v>2</v>
      </c>
      <c r="M105" s="39" t="str">
        <f>$G$21</f>
        <v>Max Yearly Fee Eligible for CCS</v>
      </c>
      <c r="O105" s="54"/>
    </row>
    <row r="106" spans="1:15" ht="15.95" customHeight="1" x14ac:dyDescent="0.2">
      <c r="A106" s="54"/>
      <c r="C106" s="41" t="str">
        <f>C85</f>
        <v>Centre Based Long Day Care</v>
      </c>
      <c r="D106" s="49">
        <v>50</v>
      </c>
      <c r="E106" s="22">
        <f>F98*$D$9</f>
        <v>6.5110855333333326</v>
      </c>
      <c r="F106" s="23">
        <f>IF(D106&gt;$E$8,$E$8,D106)*E106</f>
        <v>325.55427666666662</v>
      </c>
      <c r="G106" s="22">
        <f>IF(F106=0,0,D102/D106*(F106/E106)*D98)</f>
        <v>25000</v>
      </c>
      <c r="I106" s="27" t="str">
        <f>C106</f>
        <v>Centre Based Long Day Care</v>
      </c>
      <c r="J106" s="49">
        <v>50</v>
      </c>
      <c r="K106" s="22">
        <f>L98*$D$9</f>
        <v>6.5110855333333326</v>
      </c>
      <c r="L106" s="23">
        <f>IF(J106&gt;$E$8,$E$8,J106)*K106</f>
        <v>325.55427666666662</v>
      </c>
      <c r="M106" s="22">
        <f>IF(L106=0,0,J102/J106*(L106/K106)*J98)</f>
        <v>25000</v>
      </c>
      <c r="O106" s="54"/>
    </row>
    <row r="107" spans="1:15" ht="15.95" customHeight="1" x14ac:dyDescent="0.2">
      <c r="A107" s="54"/>
      <c r="C107" s="41" t="str">
        <f>C86</f>
        <v>Family Day Care</v>
      </c>
      <c r="D107" s="48">
        <v>0</v>
      </c>
      <c r="E107" s="22">
        <f>F99*$D$9</f>
        <v>6.0298073333333333</v>
      </c>
      <c r="F107" s="23">
        <f>IF(D107=0,0,IF(D106&gt;$E$8,0,IF(D106=0,IF(D107&gt;$E$8,$E$8,D107),IF(SUM(D106:D107)&gt;$E$8,$E$8-D106,D107))))*E107</f>
        <v>0</v>
      </c>
      <c r="G107" s="22">
        <f>IF(F107=0,0,D103/D107*(F107/E107)*D99)</f>
        <v>0</v>
      </c>
      <c r="I107" s="27" t="str">
        <f>C107</f>
        <v>Family Day Care</v>
      </c>
      <c r="J107" s="48">
        <v>0</v>
      </c>
      <c r="K107" s="22">
        <f>L99*$D$9</f>
        <v>6.0298073333333333</v>
      </c>
      <c r="L107" s="23">
        <f>IF(J107=0,0,IF(J106&gt;$E$8,0,IF(J106=0,IF(J107&gt;$E$8,$E$8,J107),IF(SUM(J106:J107)&gt;$E$8,$E$8-J106,J107))))*K107</f>
        <v>0</v>
      </c>
      <c r="M107" s="22">
        <f>IF(L107=0,0,J103/J107*(L107/K107)*J99)</f>
        <v>0</v>
      </c>
      <c r="O107" s="54"/>
    </row>
    <row r="108" spans="1:15" ht="15.95" customHeight="1" x14ac:dyDescent="0.2">
      <c r="A108" s="54"/>
      <c r="C108" s="41" t="str">
        <f>C87</f>
        <v>Outside School Hours Care</v>
      </c>
      <c r="D108" s="48">
        <v>0</v>
      </c>
      <c r="E108" s="22">
        <f>F100*$D$9</f>
        <v>5.6923593999999991</v>
      </c>
      <c r="F108" s="24">
        <f>IF(D108=0,0,IF(OR(D106&gt;$E$8,D107&gt;$E$8),0,IF(AND(D106=0,D107=0),IF(D108&gt;$E$8,$E$8,D108),IF(AND(D106&lt;&gt;0,D107=0),$E$8-D106,IF(AND(D106=0,D107&lt;&gt;0),$E$8-D107,IF(SUM(D106:D107)&gt;$E$8,0,$E$8-SUM(D106:D107)))))))*E108</f>
        <v>0</v>
      </c>
      <c r="G108" s="22">
        <f>IF(F108=0,0,D104/D108*(F108/E108)*D100)</f>
        <v>0</v>
      </c>
      <c r="I108" s="27" t="str">
        <f>C108</f>
        <v>Outside School Hours Care</v>
      </c>
      <c r="J108" s="48">
        <v>0</v>
      </c>
      <c r="K108" s="22">
        <f>L100*$D$9</f>
        <v>5.6923593999999991</v>
      </c>
      <c r="L108" s="24">
        <f>IF(J108=0,0,IF(OR(J106&gt;$E$8,J107&gt;$E$8),0,IF(AND(J106=0,J107=0),IF(J108&gt;$E$8,$E$8,J108),IF(AND(J106&lt;&gt;0,J107=0),$E$8-J106,IF(AND(J106=0,J107&lt;&gt;0),$E$8-J107,IF(SUM(J106:J107)&gt;$E$8,0,$E$8-SUM(J106:J107)))))))*K108</f>
        <v>0</v>
      </c>
      <c r="M108" s="22">
        <f>IF(L108=0,0,J104/J108*(L108/K108)*J100)</f>
        <v>0</v>
      </c>
      <c r="O108" s="54"/>
    </row>
    <row r="109" spans="1:15" ht="15.95" customHeight="1" x14ac:dyDescent="0.2">
      <c r="A109" s="54"/>
      <c r="C109" s="29" t="s">
        <v>24</v>
      </c>
      <c r="D109" s="34" t="s">
        <v>12</v>
      </c>
      <c r="E109" s="30" t="s">
        <v>11</v>
      </c>
      <c r="F109" s="43" t="s">
        <v>26</v>
      </c>
      <c r="G109" s="126"/>
      <c r="I109" s="29" t="s">
        <v>24</v>
      </c>
      <c r="J109" s="34" t="s">
        <v>12</v>
      </c>
      <c r="K109" s="30" t="s">
        <v>11</v>
      </c>
      <c r="L109" s="43" t="s">
        <v>26</v>
      </c>
      <c r="M109" s="126"/>
      <c r="O109" s="54"/>
    </row>
    <row r="110" spans="1:15" ht="15.95" customHeight="1" x14ac:dyDescent="0.2">
      <c r="A110" s="54"/>
      <c r="C110" s="27" t="s">
        <v>10</v>
      </c>
      <c r="D110" s="35">
        <f>D101</f>
        <v>500</v>
      </c>
      <c r="E110" s="22">
        <f>D98*D102+D99*D103+D100*D104</f>
        <v>25000</v>
      </c>
      <c r="F110" s="23">
        <f>E110/4</f>
        <v>6250</v>
      </c>
      <c r="G110" s="22"/>
      <c r="I110" s="27" t="s">
        <v>10</v>
      </c>
      <c r="J110" s="35">
        <f>J101</f>
        <v>500</v>
      </c>
      <c r="K110" s="22">
        <f>J98*J102+J99*J103+J100*J104</f>
        <v>25000</v>
      </c>
      <c r="L110" s="23">
        <f>K110/4</f>
        <v>6250</v>
      </c>
      <c r="M110" s="22"/>
      <c r="O110" s="54"/>
    </row>
    <row r="111" spans="1:15" ht="15.95" customHeight="1" x14ac:dyDescent="0.2">
      <c r="A111" s="54"/>
      <c r="C111" s="27" t="s">
        <v>94</v>
      </c>
      <c r="D111" s="36">
        <f>E111/D97</f>
        <v>276.59666666666664</v>
      </c>
      <c r="E111" s="22">
        <f>IF($D$6&gt;Rates!$D$15,MIN(Rates!$E$15,F106*D98+F107*D99+F108*D100,SUM(G106:G108)*$D$9),MIN(F106*D98+F107*D99+F108*D100,SUM(G106:G108)*$D$9))</f>
        <v>13829.833333333332</v>
      </c>
      <c r="F111" s="23">
        <f>E111/4</f>
        <v>3457.458333333333</v>
      </c>
      <c r="G111" s="22"/>
      <c r="I111" s="27" t="s">
        <v>94</v>
      </c>
      <c r="J111" s="36">
        <f>K111/J97</f>
        <v>276.59666666666664</v>
      </c>
      <c r="K111" s="22">
        <f>IF($D$6&gt;Rates!$D$15,MIN(Rates!$E$15,L106*J98+L107*J99+L108*J100,SUM(M106:M108)*$D$9),MIN(L106*J98+L107*J99+L108*J100,SUM(M106:M108)*$D$9))</f>
        <v>13829.833333333332</v>
      </c>
      <c r="L111" s="23">
        <f>K111/4</f>
        <v>3457.458333333333</v>
      </c>
      <c r="M111" s="22"/>
      <c r="O111" s="54"/>
    </row>
    <row r="112" spans="1:15" ht="15.95" customHeight="1" x14ac:dyDescent="0.2">
      <c r="A112" s="54"/>
      <c r="C112" s="27" t="str">
        <f>C91</f>
        <v>5% CCS Withholding</v>
      </c>
      <c r="D112" s="36">
        <f>D111*Rates!$E$30</f>
        <v>13.829833333333333</v>
      </c>
      <c r="E112" s="22">
        <f>E111*Rates!$E$30</f>
        <v>691.49166666666667</v>
      </c>
      <c r="F112" s="23">
        <f>F111*Rates!$E$30</f>
        <v>172.87291666666667</v>
      </c>
      <c r="G112" s="22"/>
      <c r="H112" s="1"/>
      <c r="I112" s="27" t="str">
        <f>I91</f>
        <v>5% CCS Withholding</v>
      </c>
      <c r="J112" s="36">
        <f>J111*Rates!$E$30</f>
        <v>13.829833333333333</v>
      </c>
      <c r="K112" s="22">
        <f>K111*Rates!$E$30</f>
        <v>691.49166666666667</v>
      </c>
      <c r="L112" s="23">
        <f>L111*Rates!$E$30</f>
        <v>172.87291666666667</v>
      </c>
      <c r="M112" s="22"/>
      <c r="O112" s="54"/>
    </row>
    <row r="113" spans="1:21" ht="15.95" customHeight="1" x14ac:dyDescent="0.2">
      <c r="A113" s="54"/>
      <c r="C113" s="27" t="str">
        <f>C92</f>
        <v>CCS Paid to Service Provider</v>
      </c>
      <c r="D113" s="35">
        <f t="shared" ref="D113:F113" si="16">D111-D112</f>
        <v>262.7668333333333</v>
      </c>
      <c r="E113" s="35">
        <f t="shared" si="16"/>
        <v>13138.341666666665</v>
      </c>
      <c r="F113" s="23">
        <f t="shared" si="16"/>
        <v>3284.5854166666663</v>
      </c>
      <c r="G113" s="22"/>
      <c r="I113" s="27" t="str">
        <f>I92</f>
        <v>CCS Paid to Service Provider</v>
      </c>
      <c r="J113" s="35">
        <f t="shared" ref="J113:L113" si="17">J111-J112</f>
        <v>262.7668333333333</v>
      </c>
      <c r="K113" s="35">
        <f t="shared" si="17"/>
        <v>13138.341666666665</v>
      </c>
      <c r="L113" s="23">
        <f t="shared" si="17"/>
        <v>3284.5854166666663</v>
      </c>
      <c r="M113" s="22"/>
      <c r="O113" s="54"/>
    </row>
    <row r="114" spans="1:21" ht="15.95" customHeight="1" x14ac:dyDescent="0.2">
      <c r="A114" s="54"/>
      <c r="C114" s="27" t="str">
        <f>C93</f>
        <v>Out-of-pocket Child Care Cost</v>
      </c>
      <c r="D114" s="35">
        <f>D110-D113</f>
        <v>237.2331666666667</v>
      </c>
      <c r="E114" s="35">
        <f>E110-E113</f>
        <v>11861.658333333335</v>
      </c>
      <c r="F114" s="23">
        <f>F110-F113</f>
        <v>2965.4145833333337</v>
      </c>
      <c r="G114" s="22"/>
      <c r="I114" s="27" t="str">
        <f>I93</f>
        <v>Out-of-pocket Child Care Cost</v>
      </c>
      <c r="J114" s="35">
        <f>J110-J113</f>
        <v>237.2331666666667</v>
      </c>
      <c r="K114" s="35">
        <f>K110-K113</f>
        <v>11861.658333333335</v>
      </c>
      <c r="L114" s="23">
        <f>L110-L113</f>
        <v>2965.4145833333337</v>
      </c>
      <c r="M114" s="22"/>
      <c r="O114" s="54"/>
    </row>
    <row r="115" spans="1:21" ht="15.95" customHeight="1" x14ac:dyDescent="0.2">
      <c r="A115" s="54"/>
      <c r="C115" s="28" t="str">
        <f>C94</f>
        <v>Child Care Cost after EOY Reconciliation</v>
      </c>
      <c r="D115" s="37">
        <f>D110-D111</f>
        <v>223.40333333333336</v>
      </c>
      <c r="E115" s="37">
        <f t="shared" ref="E115:F115" si="18">E110-E111</f>
        <v>11170.166666666668</v>
      </c>
      <c r="F115" s="24">
        <f t="shared" si="18"/>
        <v>2792.541666666667</v>
      </c>
      <c r="G115" s="22"/>
      <c r="H115" s="1"/>
      <c r="I115" s="28" t="str">
        <f>C115</f>
        <v>Child Care Cost after EOY Reconciliation</v>
      </c>
      <c r="J115" s="37">
        <f>J110-J111</f>
        <v>223.40333333333336</v>
      </c>
      <c r="K115" s="37">
        <f t="shared" ref="K115:L115" si="19">K110-K111</f>
        <v>11170.166666666668</v>
      </c>
      <c r="L115" s="24">
        <f t="shared" si="19"/>
        <v>2792.541666666667</v>
      </c>
      <c r="M115" s="22"/>
      <c r="O115" s="54"/>
    </row>
    <row r="116" spans="1:21" ht="15.95" customHeight="1" x14ac:dyDescent="0.2">
      <c r="A116" s="54"/>
      <c r="O116" s="54"/>
    </row>
    <row r="117" spans="1:21" ht="15.95" customHeight="1" x14ac:dyDescent="0.2">
      <c r="A117" s="54"/>
      <c r="C117" s="45" t="s">
        <v>116</v>
      </c>
      <c r="O117" s="54"/>
    </row>
    <row r="118" spans="1:21" ht="15.95" customHeight="1" x14ac:dyDescent="0.2">
      <c r="A118" s="54"/>
      <c r="O118" s="54"/>
    </row>
    <row r="119" spans="1:21" ht="15.95" customHeight="1" x14ac:dyDescent="0.2">
      <c r="A119" s="54"/>
      <c r="B119" s="54"/>
      <c r="C119" s="54"/>
      <c r="D119" s="54"/>
      <c r="E119" s="54"/>
      <c r="F119" s="54"/>
      <c r="G119" s="54"/>
      <c r="H119" s="54"/>
      <c r="I119" s="54"/>
      <c r="J119" s="54"/>
      <c r="K119" s="54"/>
      <c r="L119" s="54"/>
      <c r="M119" s="54"/>
      <c r="N119" s="54"/>
      <c r="O119" s="54"/>
    </row>
    <row r="120" spans="1:21" ht="15.95" hidden="1" customHeight="1" x14ac:dyDescent="0.2"/>
    <row r="121" spans="1:21" s="79" customFormat="1" ht="25.5" hidden="1" x14ac:dyDescent="0.2">
      <c r="C121" s="89" t="s">
        <v>37</v>
      </c>
      <c r="D121" s="80"/>
      <c r="E121" s="80"/>
      <c r="F121" s="80"/>
      <c r="G121" s="80"/>
      <c r="H121" s="80"/>
      <c r="K121" s="84"/>
      <c r="L121" s="84"/>
      <c r="M121" s="84"/>
      <c r="P121" s="85"/>
      <c r="Q121" s="85"/>
      <c r="R121" s="85"/>
      <c r="S121" s="85"/>
      <c r="T121" s="85"/>
      <c r="U121" s="85"/>
    </row>
    <row r="122" spans="1:21" s="79" customFormat="1" ht="12.75" hidden="1" x14ac:dyDescent="0.2">
      <c r="C122" s="80"/>
      <c r="D122" s="80"/>
      <c r="E122" s="80"/>
      <c r="F122" s="80"/>
      <c r="G122" s="80"/>
      <c r="H122" s="80"/>
      <c r="K122" s="84"/>
      <c r="L122" s="84"/>
      <c r="M122" s="84"/>
      <c r="P122" s="85"/>
      <c r="Q122" s="85"/>
      <c r="R122" s="85"/>
      <c r="S122" s="85"/>
      <c r="T122" s="85"/>
      <c r="U122" s="85"/>
    </row>
    <row r="123" spans="1:21" s="79" customFormat="1" ht="30" hidden="1" x14ac:dyDescent="0.2">
      <c r="C123" s="98" t="s">
        <v>29</v>
      </c>
      <c r="D123" s="97" t="s">
        <v>30</v>
      </c>
      <c r="E123" s="97" t="s">
        <v>31</v>
      </c>
      <c r="F123" s="81"/>
      <c r="G123" s="81"/>
      <c r="H123" s="81"/>
      <c r="K123" s="84"/>
      <c r="L123" s="84"/>
      <c r="M123" s="84"/>
      <c r="P123" s="85"/>
      <c r="Q123" s="85"/>
      <c r="R123" s="85"/>
      <c r="S123" s="85"/>
      <c r="T123" s="85"/>
      <c r="U123" s="85"/>
    </row>
    <row r="124" spans="1:21" s="79" customFormat="1" ht="38.25" hidden="1" x14ac:dyDescent="0.2">
      <c r="C124" s="102">
        <v>1</v>
      </c>
      <c r="D124" s="90" t="s">
        <v>32</v>
      </c>
      <c r="E124" s="88" t="s">
        <v>79</v>
      </c>
      <c r="F124" s="82"/>
      <c r="G124" s="82"/>
      <c r="H124" s="82"/>
      <c r="K124" s="84"/>
      <c r="L124" s="84"/>
      <c r="M124" s="84"/>
      <c r="P124" s="85"/>
      <c r="Q124" s="85"/>
      <c r="R124" s="85"/>
      <c r="S124" s="85"/>
      <c r="T124" s="85"/>
      <c r="U124" s="85"/>
    </row>
    <row r="125" spans="1:21" s="79" customFormat="1" ht="15.75" hidden="1" thickBot="1" x14ac:dyDescent="0.25">
      <c r="C125" s="103"/>
      <c r="D125" s="91"/>
      <c r="E125" s="91" t="s">
        <v>33</v>
      </c>
      <c r="F125" s="83"/>
      <c r="G125" s="83"/>
      <c r="H125" s="86">
        <v>50</v>
      </c>
      <c r="K125" s="84"/>
      <c r="L125" s="84"/>
      <c r="M125" s="84"/>
      <c r="P125" s="85"/>
      <c r="Q125" s="85"/>
      <c r="R125" s="85"/>
      <c r="S125" s="85"/>
      <c r="T125" s="85"/>
      <c r="U125" s="85"/>
    </row>
    <row r="126" spans="1:21" s="79" customFormat="1" ht="30" hidden="1" x14ac:dyDescent="0.2">
      <c r="C126" s="104">
        <v>2</v>
      </c>
      <c r="D126" s="92" t="s">
        <v>34</v>
      </c>
      <c r="E126" s="92" t="s">
        <v>76</v>
      </c>
      <c r="F126" s="83"/>
      <c r="G126" s="83"/>
      <c r="H126" s="83"/>
      <c r="K126" s="84"/>
      <c r="L126" s="84"/>
      <c r="M126" s="84"/>
      <c r="P126" s="85"/>
      <c r="Q126" s="85"/>
      <c r="R126" s="85"/>
      <c r="S126" s="85"/>
      <c r="T126" s="85"/>
      <c r="U126" s="85"/>
    </row>
    <row r="127" spans="1:21" s="79" customFormat="1" ht="15" hidden="1" x14ac:dyDescent="0.2">
      <c r="C127" s="105"/>
      <c r="D127" s="93"/>
      <c r="E127" s="93" t="s">
        <v>35</v>
      </c>
      <c r="F127" s="83"/>
      <c r="G127" s="83"/>
      <c r="H127" s="86">
        <v>100</v>
      </c>
      <c r="K127" s="84"/>
      <c r="L127" s="84"/>
      <c r="M127" s="84"/>
      <c r="P127" s="85"/>
      <c r="Q127" s="85"/>
      <c r="R127" s="85"/>
      <c r="S127" s="85"/>
      <c r="T127" s="85"/>
      <c r="U127" s="85"/>
    </row>
    <row r="128" spans="1:21" s="79" customFormat="1" ht="60.75" hidden="1" thickBot="1" x14ac:dyDescent="0.25">
      <c r="C128" s="106"/>
      <c r="D128" s="94"/>
      <c r="E128" s="94" t="s">
        <v>75</v>
      </c>
      <c r="F128" s="83"/>
      <c r="G128" s="83"/>
      <c r="H128" s="87">
        <v>19.03</v>
      </c>
      <c r="K128" s="84"/>
      <c r="L128" s="84"/>
      <c r="M128" s="84"/>
      <c r="P128" s="85"/>
      <c r="Q128" s="85"/>
      <c r="R128" s="85"/>
      <c r="S128" s="85"/>
      <c r="T128" s="85"/>
      <c r="U128" s="85"/>
    </row>
    <row r="129" spans="3:21" s="79" customFormat="1" ht="30" hidden="1" x14ac:dyDescent="0.2">
      <c r="C129" s="102">
        <v>3</v>
      </c>
      <c r="D129" s="90" t="s">
        <v>34</v>
      </c>
      <c r="E129" s="90" t="s">
        <v>76</v>
      </c>
      <c r="F129" s="83"/>
      <c r="G129" s="83"/>
      <c r="H129" s="83"/>
      <c r="K129" s="84"/>
      <c r="L129" s="84"/>
      <c r="M129" s="84"/>
      <c r="P129" s="85"/>
      <c r="Q129" s="85"/>
      <c r="R129" s="85"/>
      <c r="S129" s="85"/>
      <c r="T129" s="85"/>
      <c r="U129" s="85"/>
    </row>
    <row r="130" spans="3:21" s="79" customFormat="1" ht="15" hidden="1" x14ac:dyDescent="0.2">
      <c r="C130" s="107"/>
      <c r="D130" s="95"/>
      <c r="E130" s="95" t="s">
        <v>36</v>
      </c>
      <c r="F130" s="83"/>
      <c r="G130" s="83"/>
      <c r="H130" s="86">
        <v>150</v>
      </c>
      <c r="K130" s="84"/>
      <c r="L130" s="84"/>
      <c r="M130" s="84"/>
      <c r="P130" s="85"/>
      <c r="Q130" s="85"/>
      <c r="R130" s="85"/>
      <c r="S130" s="85"/>
      <c r="T130" s="85"/>
      <c r="U130" s="85"/>
    </row>
    <row r="131" spans="3:21" s="79" customFormat="1" ht="60.75" hidden="1" thickBot="1" x14ac:dyDescent="0.25">
      <c r="C131" s="103"/>
      <c r="D131" s="91"/>
      <c r="E131" s="91" t="s">
        <v>77</v>
      </c>
      <c r="F131" s="83"/>
      <c r="G131" s="83"/>
      <c r="H131" s="87">
        <v>55.31</v>
      </c>
      <c r="K131" s="84"/>
      <c r="L131" s="84"/>
      <c r="M131" s="84"/>
      <c r="P131" s="85"/>
      <c r="Q131" s="85"/>
      <c r="R131" s="85"/>
      <c r="S131" s="85"/>
      <c r="T131" s="85"/>
      <c r="U131" s="85"/>
    </row>
    <row r="132" spans="3:21" ht="15.95" hidden="1" customHeight="1" x14ac:dyDescent="0.2"/>
    <row r="133" spans="3:21" ht="15.95" hidden="1" customHeight="1" x14ac:dyDescent="0.2">
      <c r="C133" s="9" t="s">
        <v>74</v>
      </c>
    </row>
    <row r="134" spans="3:21" ht="15.95" hidden="1" customHeight="1" x14ac:dyDescent="0.2">
      <c r="C134" s="4" t="s">
        <v>38</v>
      </c>
      <c r="I134" s="4" t="s">
        <v>59</v>
      </c>
    </row>
    <row r="135" spans="3:21" ht="15.95" hidden="1" customHeight="1" x14ac:dyDescent="0.2">
      <c r="C135" s="99" t="s">
        <v>57</v>
      </c>
      <c r="D135" s="99" t="s">
        <v>39</v>
      </c>
      <c r="E135" s="99" t="s">
        <v>40</v>
      </c>
      <c r="F135" s="99" t="s">
        <v>41</v>
      </c>
      <c r="G135" s="99"/>
      <c r="I135" s="9" t="s">
        <v>60</v>
      </c>
      <c r="J135" s="9" t="s">
        <v>61</v>
      </c>
      <c r="K135" s="11" t="s">
        <v>62</v>
      </c>
    </row>
    <row r="136" spans="3:21" ht="15.95" hidden="1" customHeight="1" x14ac:dyDescent="0.2">
      <c r="C136" s="100" t="s">
        <v>78</v>
      </c>
      <c r="D136" s="101">
        <v>44457</v>
      </c>
      <c r="E136" s="101">
        <v>44457</v>
      </c>
      <c r="F136" s="101">
        <v>103707</v>
      </c>
      <c r="G136" s="101"/>
      <c r="I136" s="4" t="s">
        <v>63</v>
      </c>
      <c r="J136" s="96">
        <v>7500</v>
      </c>
      <c r="K136" s="10" t="s">
        <v>64</v>
      </c>
    </row>
    <row r="137" spans="3:21" ht="15.95" hidden="1" customHeight="1" x14ac:dyDescent="0.2">
      <c r="C137" s="100" t="s">
        <v>58</v>
      </c>
      <c r="D137" s="101">
        <v>43727</v>
      </c>
      <c r="E137" s="101">
        <v>43727</v>
      </c>
      <c r="F137" s="101">
        <v>101973</v>
      </c>
      <c r="G137" s="101"/>
      <c r="I137" s="4" t="s">
        <v>65</v>
      </c>
      <c r="J137" s="96">
        <v>7778</v>
      </c>
      <c r="K137" s="10" t="s">
        <v>64</v>
      </c>
    </row>
    <row r="138" spans="3:21" ht="15.95" hidden="1" customHeight="1" x14ac:dyDescent="0.2">
      <c r="C138" s="100" t="s">
        <v>42</v>
      </c>
      <c r="D138" s="101">
        <v>42997</v>
      </c>
      <c r="E138" s="101">
        <v>42997</v>
      </c>
      <c r="F138" s="101">
        <v>100268</v>
      </c>
      <c r="G138" s="101"/>
      <c r="I138" s="4" t="s">
        <v>66</v>
      </c>
      <c r="J138" s="96">
        <v>7941</v>
      </c>
      <c r="K138" s="10" t="s">
        <v>64</v>
      </c>
    </row>
    <row r="139" spans="3:21" ht="15.95" hidden="1" customHeight="1" x14ac:dyDescent="0.2">
      <c r="C139" s="100" t="s">
        <v>43</v>
      </c>
      <c r="D139" s="101">
        <v>41902</v>
      </c>
      <c r="E139" s="101">
        <v>41902</v>
      </c>
      <c r="F139" s="101">
        <v>97632</v>
      </c>
      <c r="G139" s="101"/>
      <c r="I139" s="4" t="s">
        <v>67</v>
      </c>
      <c r="J139" s="96">
        <v>7500</v>
      </c>
      <c r="K139" s="10" t="s">
        <v>64</v>
      </c>
    </row>
    <row r="140" spans="3:21" ht="15.95" hidden="1" customHeight="1" x14ac:dyDescent="0.2">
      <c r="C140" s="100" t="s">
        <v>44</v>
      </c>
      <c r="D140" s="101">
        <v>41026</v>
      </c>
      <c r="E140" s="101">
        <v>41026</v>
      </c>
      <c r="F140" s="101">
        <v>95530</v>
      </c>
      <c r="G140" s="101"/>
      <c r="I140" s="4" t="s">
        <v>68</v>
      </c>
      <c r="J140" s="96">
        <v>7500</v>
      </c>
      <c r="K140" s="10" t="s">
        <v>69</v>
      </c>
    </row>
    <row r="141" spans="3:21" ht="15.95" hidden="1" customHeight="1" x14ac:dyDescent="0.2">
      <c r="C141" s="100" t="s">
        <v>45</v>
      </c>
      <c r="D141" s="101">
        <v>39785</v>
      </c>
      <c r="E141" s="101">
        <v>39785</v>
      </c>
      <c r="F141" s="101">
        <v>92658</v>
      </c>
      <c r="G141" s="101"/>
      <c r="I141" s="4" t="s">
        <v>70</v>
      </c>
      <c r="J141" s="96">
        <v>7500</v>
      </c>
      <c r="K141" s="10" t="s">
        <v>69</v>
      </c>
    </row>
    <row r="142" spans="3:21" ht="15.95" hidden="1" customHeight="1" x14ac:dyDescent="0.2">
      <c r="C142" s="100" t="s">
        <v>46</v>
      </c>
      <c r="D142" s="101">
        <v>38763</v>
      </c>
      <c r="E142" s="101">
        <v>38763</v>
      </c>
      <c r="F142" s="101">
        <v>90222</v>
      </c>
      <c r="G142" s="101"/>
      <c r="I142" s="4" t="s">
        <v>71</v>
      </c>
      <c r="J142" s="96">
        <v>7500</v>
      </c>
      <c r="K142" s="10" t="s">
        <v>69</v>
      </c>
    </row>
    <row r="143" spans="3:21" ht="15.95" hidden="1" customHeight="1" x14ac:dyDescent="0.2">
      <c r="C143" s="100" t="s">
        <v>47</v>
      </c>
      <c r="D143" s="101">
        <v>37960</v>
      </c>
      <c r="E143" s="101">
        <v>37960</v>
      </c>
      <c r="F143" s="101">
        <v>88366</v>
      </c>
      <c r="G143" s="101"/>
      <c r="I143" s="4" t="s">
        <v>72</v>
      </c>
      <c r="J143" s="96">
        <v>7500</v>
      </c>
      <c r="K143" s="10" t="s">
        <v>69</v>
      </c>
    </row>
    <row r="144" spans="3:21" ht="15.95" hidden="1" customHeight="1" x14ac:dyDescent="0.2">
      <c r="C144" s="100" t="s">
        <v>47</v>
      </c>
      <c r="D144" s="101">
        <v>37960</v>
      </c>
      <c r="E144" s="101">
        <v>37960</v>
      </c>
      <c r="F144" s="101">
        <v>88366</v>
      </c>
      <c r="G144" s="101"/>
      <c r="I144" s="4" t="s">
        <v>73</v>
      </c>
      <c r="J144" s="96">
        <v>7500</v>
      </c>
      <c r="K144" s="10" t="s">
        <v>69</v>
      </c>
    </row>
    <row r="145" spans="3:7" ht="15.95" hidden="1" customHeight="1" x14ac:dyDescent="0.2">
      <c r="C145" s="100" t="s">
        <v>48</v>
      </c>
      <c r="D145" s="101">
        <v>36573</v>
      </c>
      <c r="E145" s="101">
        <v>36573</v>
      </c>
      <c r="F145" s="101">
        <v>85213</v>
      </c>
      <c r="G145" s="101"/>
    </row>
    <row r="146" spans="3:7" ht="15.95" hidden="1" customHeight="1" x14ac:dyDescent="0.2">
      <c r="C146" s="100" t="s">
        <v>49</v>
      </c>
      <c r="D146" s="101">
        <v>35478</v>
      </c>
      <c r="E146" s="101">
        <v>35478</v>
      </c>
      <c r="F146" s="101">
        <v>82731</v>
      </c>
      <c r="G146" s="101"/>
    </row>
    <row r="147" spans="3:7" ht="15.95" hidden="1" customHeight="1" x14ac:dyDescent="0.2">
      <c r="C147" s="100" t="s">
        <v>50</v>
      </c>
      <c r="D147" s="101">
        <v>34310</v>
      </c>
      <c r="E147" s="101">
        <v>34310</v>
      </c>
      <c r="F147" s="101">
        <v>80088</v>
      </c>
      <c r="G147" s="101"/>
    </row>
    <row r="148" spans="3:7" ht="15.95" hidden="1" customHeight="1" x14ac:dyDescent="0.2">
      <c r="C148" s="100" t="s">
        <v>51</v>
      </c>
      <c r="D148" s="101">
        <v>33361</v>
      </c>
      <c r="E148" s="101">
        <v>33361</v>
      </c>
      <c r="F148" s="101">
        <v>77907</v>
      </c>
      <c r="G148" s="101"/>
    </row>
    <row r="149" spans="3:7" ht="15.95" hidden="1" customHeight="1" x14ac:dyDescent="0.2">
      <c r="C149" s="100" t="s">
        <v>52</v>
      </c>
      <c r="D149" s="101">
        <v>32485</v>
      </c>
      <c r="E149" s="101">
        <v>32485</v>
      </c>
      <c r="F149" s="101">
        <v>75933</v>
      </c>
      <c r="G149" s="101"/>
    </row>
    <row r="150" spans="3:7" ht="15.95" hidden="1" customHeight="1" x14ac:dyDescent="0.2">
      <c r="C150" s="100" t="s">
        <v>53</v>
      </c>
      <c r="D150" s="101">
        <v>31755</v>
      </c>
      <c r="E150" s="101">
        <v>31755</v>
      </c>
      <c r="F150" s="101">
        <v>74153</v>
      </c>
      <c r="G150" s="101"/>
    </row>
    <row r="151" spans="3:7" ht="15.95" hidden="1" customHeight="1" x14ac:dyDescent="0.2">
      <c r="C151" s="100" t="s">
        <v>54</v>
      </c>
      <c r="D151" s="101">
        <v>30806</v>
      </c>
      <c r="E151" s="101">
        <v>30806</v>
      </c>
      <c r="F151" s="101">
        <v>71993</v>
      </c>
      <c r="G151" s="101"/>
    </row>
    <row r="152" spans="3:7" ht="15.95" hidden="1" customHeight="1" x14ac:dyDescent="0.2">
      <c r="C152" s="100" t="s">
        <v>55</v>
      </c>
      <c r="D152" s="101">
        <v>29857</v>
      </c>
      <c r="E152" s="101">
        <v>29857</v>
      </c>
      <c r="F152" s="101">
        <v>69828</v>
      </c>
      <c r="G152" s="101"/>
    </row>
    <row r="153" spans="3:7" ht="15.95" hidden="1" customHeight="1" x14ac:dyDescent="0.2">
      <c r="C153" s="100" t="s">
        <v>56</v>
      </c>
      <c r="D153" s="101">
        <v>28200</v>
      </c>
      <c r="E153" s="101">
        <v>28200</v>
      </c>
      <c r="F153" s="101">
        <v>66000</v>
      </c>
      <c r="G153" s="101"/>
    </row>
    <row r="154" spans="3:7" ht="15.95" hidden="1" customHeight="1" x14ac:dyDescent="0.2">
      <c r="C154" s="100"/>
      <c r="D154" s="101"/>
      <c r="E154" s="101"/>
      <c r="F154" s="101"/>
      <c r="G154" s="101"/>
    </row>
    <row r="155" spans="3:7" ht="15.95" hidden="1" customHeight="1" x14ac:dyDescent="0.2">
      <c r="C155" s="100"/>
      <c r="D155" s="101"/>
      <c r="E155" s="101"/>
      <c r="F155" s="101"/>
      <c r="G155" s="101"/>
    </row>
    <row r="156" spans="3:7" ht="15.95" hidden="1" customHeight="1" x14ac:dyDescent="0.2">
      <c r="C156" s="100"/>
      <c r="D156" s="101"/>
      <c r="E156" s="101"/>
      <c r="F156" s="101"/>
      <c r="G156" s="101"/>
    </row>
    <row r="157" spans="3:7" ht="15.95" hidden="1" customHeight="1" x14ac:dyDescent="0.2">
      <c r="C157" s="100"/>
      <c r="D157" s="101"/>
      <c r="E157" s="101"/>
      <c r="F157" s="101"/>
      <c r="G157" s="101"/>
    </row>
    <row r="158" spans="3:7" ht="15.95" hidden="1" customHeight="1" x14ac:dyDescent="0.2">
      <c r="C158" s="100"/>
      <c r="D158" s="101"/>
      <c r="E158" s="101"/>
      <c r="F158" s="101"/>
      <c r="G158" s="101"/>
    </row>
    <row r="159" spans="3:7" ht="15.95" hidden="1" customHeight="1" x14ac:dyDescent="0.2">
      <c r="C159" s="100"/>
      <c r="D159" s="101"/>
      <c r="E159" s="101"/>
      <c r="F159" s="101"/>
      <c r="G159" s="101"/>
    </row>
    <row r="160" spans="3:7" ht="15.95" hidden="1" customHeight="1" x14ac:dyDescent="0.2">
      <c r="C160" s="100"/>
      <c r="D160" s="101"/>
      <c r="E160" s="101"/>
      <c r="F160" s="101"/>
      <c r="G160" s="101"/>
    </row>
    <row r="161" spans="3:7" ht="15.95" hidden="1" customHeight="1" x14ac:dyDescent="0.2">
      <c r="C161" s="100"/>
      <c r="D161" s="101"/>
      <c r="E161" s="101"/>
      <c r="F161" s="101"/>
      <c r="G161" s="101"/>
    </row>
    <row r="162" spans="3:7" ht="15.95" hidden="1" customHeight="1" x14ac:dyDescent="0.2">
      <c r="C162" s="100"/>
      <c r="D162" s="101"/>
      <c r="E162" s="101"/>
      <c r="F162" s="101"/>
      <c r="G162" s="101"/>
    </row>
    <row r="163" spans="3:7" ht="15.95" hidden="1" customHeight="1" x14ac:dyDescent="0.2">
      <c r="C163" s="100"/>
      <c r="D163" s="101"/>
      <c r="E163" s="101"/>
      <c r="F163" s="101"/>
      <c r="G163" s="101"/>
    </row>
    <row r="164" spans="3:7" ht="15.95" hidden="1" customHeight="1" x14ac:dyDescent="0.2">
      <c r="C164" s="100"/>
      <c r="D164" s="101"/>
      <c r="E164" s="101"/>
      <c r="F164" s="101"/>
      <c r="G164" s="101"/>
    </row>
    <row r="165" spans="3:7" ht="15.95" hidden="1" customHeight="1" x14ac:dyDescent="0.2">
      <c r="C165" s="100"/>
      <c r="D165" s="101"/>
      <c r="E165" s="101"/>
      <c r="F165" s="101"/>
      <c r="G165" s="101"/>
    </row>
    <row r="166" spans="3:7" ht="15.95" hidden="1" customHeight="1" x14ac:dyDescent="0.2">
      <c r="C166" s="100"/>
      <c r="D166" s="101"/>
      <c r="E166" s="101"/>
      <c r="F166" s="101"/>
      <c r="G166" s="101"/>
    </row>
    <row r="167" spans="3:7" ht="15.95" hidden="1" customHeight="1" x14ac:dyDescent="0.2">
      <c r="C167" s="100"/>
      <c r="D167" s="101"/>
      <c r="E167" s="101"/>
      <c r="F167" s="101"/>
      <c r="G167" s="101"/>
    </row>
    <row r="168" spans="3:7" ht="15.95" hidden="1" customHeight="1" x14ac:dyDescent="0.2">
      <c r="C168" s="100"/>
      <c r="D168" s="101"/>
      <c r="E168" s="101"/>
      <c r="F168" s="101"/>
      <c r="G168" s="101"/>
    </row>
    <row r="169" spans="3:7" ht="15.95" hidden="1" customHeight="1" x14ac:dyDescent="0.2">
      <c r="C169" s="100"/>
      <c r="D169" s="101"/>
      <c r="E169" s="101"/>
      <c r="F169" s="101"/>
      <c r="G169" s="101"/>
    </row>
    <row r="170" spans="3:7" ht="15.95" hidden="1" customHeight="1" x14ac:dyDescent="0.2">
      <c r="C170" s="100"/>
      <c r="D170" s="101"/>
      <c r="E170" s="101"/>
      <c r="F170" s="101"/>
      <c r="G170" s="101"/>
    </row>
    <row r="171" spans="3:7" ht="15.95" hidden="1" customHeight="1" x14ac:dyDescent="0.2">
      <c r="C171" s="100"/>
      <c r="D171" s="101"/>
      <c r="E171" s="101"/>
      <c r="F171" s="101"/>
      <c r="G171" s="101"/>
    </row>
    <row r="172" spans="3:7" ht="15.95" hidden="1" customHeight="1" x14ac:dyDescent="0.2">
      <c r="C172" s="100"/>
      <c r="D172" s="101"/>
      <c r="E172" s="101"/>
      <c r="F172" s="101"/>
      <c r="G172" s="101"/>
    </row>
    <row r="173" spans="3:7" ht="15.95" hidden="1" customHeight="1" x14ac:dyDescent="0.2">
      <c r="C173" s="100"/>
      <c r="D173" s="101"/>
      <c r="E173" s="101"/>
      <c r="F173" s="101"/>
      <c r="G173" s="101"/>
    </row>
    <row r="174" spans="3:7" ht="15.95" hidden="1" customHeight="1" x14ac:dyDescent="0.2">
      <c r="C174" s="100"/>
      <c r="D174" s="101"/>
      <c r="E174" s="101"/>
      <c r="F174" s="101"/>
      <c r="G174" s="101"/>
    </row>
    <row r="175" spans="3:7" ht="15.95" hidden="1" customHeight="1" x14ac:dyDescent="0.2">
      <c r="C175" s="100"/>
      <c r="D175" s="101"/>
      <c r="E175" s="101"/>
      <c r="F175" s="101"/>
      <c r="G175" s="101"/>
    </row>
    <row r="176" spans="3:7" ht="15.95" hidden="1" customHeight="1" x14ac:dyDescent="0.2">
      <c r="C176" s="100"/>
      <c r="D176" s="101"/>
      <c r="E176" s="101"/>
      <c r="F176" s="101"/>
      <c r="G176" s="101"/>
    </row>
    <row r="177" spans="3:7" ht="15.95" hidden="1" customHeight="1" x14ac:dyDescent="0.2">
      <c r="C177" s="100"/>
      <c r="D177" s="101"/>
      <c r="E177" s="101"/>
      <c r="F177" s="101"/>
      <c r="G177" s="101"/>
    </row>
    <row r="178" spans="3:7" ht="15.95" hidden="1" customHeight="1" x14ac:dyDescent="0.2">
      <c r="C178" s="100"/>
      <c r="D178" s="101"/>
      <c r="E178" s="101"/>
      <c r="F178" s="101"/>
      <c r="G178" s="101"/>
    </row>
    <row r="179" spans="3:7" ht="15.95" hidden="1" customHeight="1" x14ac:dyDescent="0.2">
      <c r="C179" s="100"/>
      <c r="D179" s="101"/>
      <c r="E179" s="101"/>
      <c r="F179" s="101"/>
      <c r="G179" s="101"/>
    </row>
    <row r="180" spans="3:7" ht="15.95" hidden="1" customHeight="1" x14ac:dyDescent="0.2">
      <c r="C180" s="100"/>
      <c r="D180" s="101"/>
      <c r="E180" s="101"/>
      <c r="F180" s="101"/>
      <c r="G180" s="101"/>
    </row>
    <row r="181" spans="3:7" ht="15.95" hidden="1" customHeight="1" x14ac:dyDescent="0.2">
      <c r="C181" s="100"/>
      <c r="D181" s="101"/>
      <c r="E181" s="101"/>
      <c r="F181" s="101"/>
      <c r="G181" s="101"/>
    </row>
    <row r="182" spans="3:7" ht="15.95" hidden="1" customHeight="1" x14ac:dyDescent="0.2">
      <c r="C182" s="100"/>
      <c r="D182" s="101"/>
      <c r="E182" s="101"/>
      <c r="F182" s="101"/>
      <c r="G182" s="101"/>
    </row>
    <row r="183" spans="3:7" ht="15.95" hidden="1" customHeight="1" x14ac:dyDescent="0.2">
      <c r="C183" s="100"/>
      <c r="D183" s="101"/>
      <c r="E183" s="101"/>
      <c r="F183" s="101"/>
      <c r="G183" s="101"/>
    </row>
    <row r="184" spans="3:7" ht="15.95" hidden="1" customHeight="1" x14ac:dyDescent="0.2">
      <c r="C184" s="100"/>
      <c r="D184" s="101"/>
      <c r="E184" s="101"/>
      <c r="F184" s="101"/>
      <c r="G184" s="101"/>
    </row>
    <row r="185" spans="3:7" ht="15.95" hidden="1" customHeight="1" x14ac:dyDescent="0.2">
      <c r="C185" s="100"/>
      <c r="D185" s="101"/>
      <c r="E185" s="101"/>
      <c r="F185" s="101"/>
      <c r="G185" s="101"/>
    </row>
    <row r="186" spans="3:7" ht="15.95" hidden="1" customHeight="1" x14ac:dyDescent="0.2">
      <c r="C186" s="100"/>
      <c r="D186" s="101"/>
      <c r="E186" s="101"/>
      <c r="F186" s="101"/>
      <c r="G186" s="101"/>
    </row>
    <row r="187" spans="3:7" ht="15.95" hidden="1" customHeight="1" x14ac:dyDescent="0.2">
      <c r="C187" s="100"/>
      <c r="D187" s="101"/>
      <c r="E187" s="101"/>
      <c r="F187" s="101"/>
      <c r="G187" s="101"/>
    </row>
    <row r="188" spans="3:7" ht="15.95" hidden="1" customHeight="1" x14ac:dyDescent="0.2">
      <c r="C188" s="100"/>
      <c r="D188" s="101"/>
      <c r="E188" s="101"/>
      <c r="F188" s="101"/>
      <c r="G188" s="101"/>
    </row>
    <row r="189" spans="3:7" ht="15.95" hidden="1" customHeight="1" x14ac:dyDescent="0.2">
      <c r="C189" s="100"/>
      <c r="D189" s="101"/>
      <c r="E189" s="101"/>
      <c r="F189" s="101"/>
      <c r="G189" s="101"/>
    </row>
    <row r="190" spans="3:7" ht="15.95" hidden="1" customHeight="1" x14ac:dyDescent="0.2">
      <c r="C190" s="100"/>
      <c r="D190" s="101"/>
      <c r="E190" s="101"/>
      <c r="F190" s="101"/>
      <c r="G190" s="101"/>
    </row>
    <row r="191" spans="3:7" ht="15.95" hidden="1" customHeight="1" x14ac:dyDescent="0.2">
      <c r="C191" s="100"/>
      <c r="D191" s="101"/>
      <c r="E191" s="101"/>
      <c r="F191" s="101"/>
      <c r="G191" s="101"/>
    </row>
    <row r="192" spans="3:7" ht="15.95" hidden="1" customHeight="1" x14ac:dyDescent="0.2">
      <c r="C192" s="100"/>
      <c r="D192" s="101"/>
      <c r="E192" s="101"/>
      <c r="F192" s="101"/>
      <c r="G192" s="101"/>
    </row>
    <row r="193" spans="3:7" ht="15.95" hidden="1" customHeight="1" x14ac:dyDescent="0.2">
      <c r="C193" s="100"/>
      <c r="D193" s="101"/>
      <c r="E193" s="101"/>
      <c r="F193" s="101"/>
      <c r="G193" s="101"/>
    </row>
    <row r="194" spans="3:7" ht="15.95" hidden="1" customHeight="1" x14ac:dyDescent="0.2">
      <c r="C194" s="100"/>
      <c r="D194" s="101"/>
      <c r="E194" s="101"/>
      <c r="F194" s="101"/>
      <c r="G194" s="101"/>
    </row>
    <row r="195" spans="3:7" ht="15.95" hidden="1" customHeight="1" x14ac:dyDescent="0.2">
      <c r="C195" s="100"/>
      <c r="D195" s="101"/>
      <c r="E195" s="101"/>
      <c r="F195" s="101"/>
      <c r="G195" s="101"/>
    </row>
    <row r="196" spans="3:7" ht="15.95" hidden="1" customHeight="1" x14ac:dyDescent="0.2">
      <c r="C196" s="100"/>
      <c r="D196" s="101"/>
      <c r="E196" s="101"/>
      <c r="F196" s="101"/>
      <c r="G196" s="101"/>
    </row>
    <row r="197" spans="3:7" ht="15.95" hidden="1" customHeight="1" x14ac:dyDescent="0.2">
      <c r="C197" s="100"/>
      <c r="D197" s="101"/>
      <c r="E197" s="101"/>
      <c r="F197" s="101"/>
      <c r="G197" s="101"/>
    </row>
    <row r="198" spans="3:7" ht="15.95" hidden="1" customHeight="1" x14ac:dyDescent="0.2">
      <c r="C198" s="100"/>
      <c r="D198" s="101"/>
      <c r="E198" s="101"/>
      <c r="F198" s="101"/>
      <c r="G198" s="101"/>
    </row>
    <row r="199" spans="3:7" ht="15.95" hidden="1" customHeight="1" x14ac:dyDescent="0.2">
      <c r="C199" s="100"/>
      <c r="D199" s="101"/>
      <c r="E199" s="101"/>
      <c r="F199" s="101"/>
      <c r="G199" s="101"/>
    </row>
    <row r="200" spans="3:7" ht="15.95" hidden="1" customHeight="1" x14ac:dyDescent="0.2">
      <c r="C200" s="100"/>
      <c r="D200" s="101"/>
      <c r="E200" s="101"/>
      <c r="F200" s="101"/>
      <c r="G200" s="101"/>
    </row>
    <row r="201" spans="3:7" ht="15.95" hidden="1" customHeight="1" x14ac:dyDescent="0.2">
      <c r="C201" s="100"/>
      <c r="D201" s="101"/>
      <c r="E201" s="101"/>
      <c r="F201" s="101"/>
      <c r="G201" s="101"/>
    </row>
    <row r="202" spans="3:7" ht="15.95" hidden="1" customHeight="1" x14ac:dyDescent="0.2">
      <c r="C202" s="100"/>
      <c r="D202" s="101"/>
      <c r="E202" s="101"/>
      <c r="F202" s="101"/>
      <c r="G202" s="101"/>
    </row>
    <row r="203" spans="3:7" ht="15.95" hidden="1" customHeight="1" x14ac:dyDescent="0.2">
      <c r="C203" s="100"/>
      <c r="D203" s="101"/>
      <c r="E203" s="101"/>
      <c r="F203" s="101"/>
      <c r="G203" s="101"/>
    </row>
    <row r="204" spans="3:7" ht="15.95" hidden="1" customHeight="1" x14ac:dyDescent="0.2">
      <c r="C204" s="100"/>
      <c r="D204" s="101"/>
      <c r="E204" s="101"/>
      <c r="F204" s="101"/>
      <c r="G204" s="101"/>
    </row>
    <row r="205" spans="3:7" ht="15.95" hidden="1" customHeight="1" x14ac:dyDescent="0.2">
      <c r="C205" s="100"/>
      <c r="D205" s="101"/>
      <c r="E205" s="101"/>
      <c r="F205" s="101"/>
      <c r="G205" s="101"/>
    </row>
    <row r="206" spans="3:7" ht="15.95" hidden="1" customHeight="1" x14ac:dyDescent="0.2">
      <c r="C206" s="100"/>
      <c r="D206" s="101"/>
      <c r="E206" s="101"/>
      <c r="F206" s="101"/>
      <c r="G206" s="101"/>
    </row>
    <row r="207" spans="3:7" ht="15.95" hidden="1" customHeight="1" x14ac:dyDescent="0.2">
      <c r="C207" s="100"/>
      <c r="D207" s="101"/>
      <c r="E207" s="101"/>
      <c r="F207" s="101"/>
      <c r="G207" s="101"/>
    </row>
    <row r="208" spans="3:7" ht="15.95" hidden="1" customHeight="1" x14ac:dyDescent="0.2">
      <c r="C208" s="100"/>
      <c r="D208" s="101"/>
      <c r="E208" s="101"/>
      <c r="F208" s="101"/>
      <c r="G208" s="101"/>
    </row>
    <row r="209" spans="3:7" ht="15.95" hidden="1" customHeight="1" x14ac:dyDescent="0.2">
      <c r="C209" s="100"/>
      <c r="D209" s="101"/>
      <c r="E209" s="101"/>
      <c r="F209" s="101"/>
      <c r="G209" s="101"/>
    </row>
    <row r="210" spans="3:7" ht="15.95" hidden="1" customHeight="1" x14ac:dyDescent="0.2">
      <c r="C210" s="100"/>
      <c r="D210" s="101"/>
      <c r="E210" s="101"/>
      <c r="F210" s="101"/>
      <c r="G210" s="101"/>
    </row>
    <row r="211" spans="3:7" ht="15.95" hidden="1" customHeight="1" x14ac:dyDescent="0.2">
      <c r="C211" s="100"/>
      <c r="D211" s="101"/>
      <c r="E211" s="101"/>
      <c r="F211" s="101"/>
      <c r="G211" s="101"/>
    </row>
    <row r="212" spans="3:7" ht="15.95" hidden="1" customHeight="1" x14ac:dyDescent="0.2">
      <c r="C212" s="100"/>
      <c r="D212" s="101"/>
      <c r="E212" s="101"/>
      <c r="F212" s="101"/>
      <c r="G212" s="101"/>
    </row>
    <row r="213" spans="3:7" ht="15.95" hidden="1" customHeight="1" x14ac:dyDescent="0.2">
      <c r="C213" s="100"/>
      <c r="D213" s="101"/>
      <c r="E213" s="101"/>
      <c r="F213" s="101"/>
      <c r="G213" s="101"/>
    </row>
    <row r="214" spans="3:7" ht="15.95" hidden="1" customHeight="1" x14ac:dyDescent="0.2">
      <c r="C214" s="100"/>
      <c r="D214" s="101"/>
      <c r="E214" s="101"/>
      <c r="F214" s="101"/>
      <c r="G214" s="101"/>
    </row>
    <row r="215" spans="3:7" ht="15.95" hidden="1" customHeight="1" x14ac:dyDescent="0.2">
      <c r="C215" s="100"/>
      <c r="D215" s="101"/>
      <c r="E215" s="101"/>
      <c r="F215" s="101"/>
      <c r="G215" s="101"/>
    </row>
    <row r="216" spans="3:7" ht="15.95" hidden="1" customHeight="1" x14ac:dyDescent="0.2">
      <c r="C216" s="100"/>
      <c r="D216" s="101"/>
      <c r="E216" s="101"/>
      <c r="F216" s="101"/>
      <c r="G216" s="101"/>
    </row>
    <row r="217" spans="3:7" ht="15.95" hidden="1" customHeight="1" x14ac:dyDescent="0.2">
      <c r="C217" s="100"/>
      <c r="D217" s="101"/>
      <c r="E217" s="101"/>
      <c r="F217" s="101"/>
      <c r="G217" s="101"/>
    </row>
    <row r="218" spans="3:7" ht="15.95" hidden="1" customHeight="1" x14ac:dyDescent="0.2">
      <c r="C218" s="100"/>
      <c r="D218" s="101"/>
      <c r="E218" s="101"/>
      <c r="F218" s="101"/>
      <c r="G218" s="101"/>
    </row>
    <row r="219" spans="3:7" ht="15.95" hidden="1" customHeight="1" x14ac:dyDescent="0.2">
      <c r="C219" s="100"/>
      <c r="D219" s="101"/>
      <c r="E219" s="101"/>
      <c r="F219" s="101"/>
      <c r="G219" s="101"/>
    </row>
    <row r="220" spans="3:7" ht="15.95" hidden="1" customHeight="1" x14ac:dyDescent="0.2">
      <c r="C220" s="100"/>
      <c r="D220" s="101"/>
      <c r="E220" s="101"/>
      <c r="F220" s="101"/>
      <c r="G220" s="101"/>
    </row>
    <row r="221" spans="3:7" ht="15.95" hidden="1" customHeight="1" x14ac:dyDescent="0.2">
      <c r="C221" s="100"/>
      <c r="D221" s="101"/>
      <c r="E221" s="101"/>
      <c r="F221" s="101"/>
      <c r="G221" s="101"/>
    </row>
    <row r="222" spans="3:7" ht="15.95" hidden="1" customHeight="1" x14ac:dyDescent="0.2">
      <c r="C222" s="100"/>
      <c r="D222" s="101"/>
      <c r="E222" s="101"/>
      <c r="F222" s="101"/>
      <c r="G222" s="101"/>
    </row>
    <row r="223" spans="3:7" ht="15.95" hidden="1" customHeight="1" x14ac:dyDescent="0.2">
      <c r="C223" s="100"/>
      <c r="D223" s="101"/>
      <c r="E223" s="101"/>
      <c r="F223" s="101"/>
      <c r="G223" s="101"/>
    </row>
    <row r="224" spans="3:7" ht="15.95" hidden="1" customHeight="1" x14ac:dyDescent="0.2">
      <c r="C224" s="100"/>
      <c r="D224" s="101"/>
      <c r="E224" s="101"/>
      <c r="F224" s="101"/>
      <c r="G224" s="101"/>
    </row>
    <row r="225" spans="3:7" ht="15.95" hidden="1" customHeight="1" x14ac:dyDescent="0.2">
      <c r="C225" s="100"/>
      <c r="D225" s="101"/>
      <c r="E225" s="101"/>
      <c r="F225" s="101"/>
      <c r="G225" s="101"/>
    </row>
    <row r="226" spans="3:7" ht="15.95" hidden="1" customHeight="1" x14ac:dyDescent="0.2">
      <c r="C226" s="100"/>
      <c r="D226" s="101"/>
      <c r="E226" s="101"/>
      <c r="F226" s="101"/>
      <c r="G226" s="101"/>
    </row>
    <row r="227" spans="3:7" ht="15.95" hidden="1" customHeight="1" x14ac:dyDescent="0.2">
      <c r="C227" s="100"/>
      <c r="D227" s="101"/>
      <c r="E227" s="101"/>
      <c r="F227" s="101"/>
      <c r="G227" s="101"/>
    </row>
    <row r="228" spans="3:7" ht="15.95" hidden="1" customHeight="1" x14ac:dyDescent="0.2">
      <c r="C228" s="100"/>
      <c r="D228" s="101"/>
      <c r="E228" s="101"/>
      <c r="F228" s="101"/>
      <c r="G228" s="101"/>
    </row>
    <row r="229" spans="3:7" ht="15.95" hidden="1" customHeight="1" x14ac:dyDescent="0.2">
      <c r="C229" s="100"/>
      <c r="D229" s="101"/>
      <c r="E229" s="101"/>
      <c r="F229" s="101"/>
      <c r="G229" s="101"/>
    </row>
    <row r="230" spans="3:7" ht="15.95" hidden="1" customHeight="1" x14ac:dyDescent="0.2">
      <c r="C230" s="100"/>
      <c r="D230" s="101"/>
      <c r="E230" s="101"/>
      <c r="F230" s="101"/>
      <c r="G230" s="101"/>
    </row>
    <row r="231" spans="3:7" ht="15.95" hidden="1" customHeight="1" x14ac:dyDescent="0.2">
      <c r="C231" s="100"/>
      <c r="D231" s="101"/>
      <c r="E231" s="101"/>
      <c r="F231" s="101"/>
      <c r="G231" s="101"/>
    </row>
    <row r="232" spans="3:7" ht="15.95" hidden="1" customHeight="1" x14ac:dyDescent="0.2">
      <c r="C232" s="100"/>
      <c r="D232" s="101"/>
      <c r="E232" s="101"/>
      <c r="F232" s="101"/>
      <c r="G232" s="101"/>
    </row>
    <row r="233" spans="3:7" ht="15.95" hidden="1" customHeight="1" x14ac:dyDescent="0.2">
      <c r="C233" s="100"/>
      <c r="D233" s="101"/>
      <c r="E233" s="101"/>
      <c r="F233" s="101"/>
      <c r="G233" s="101"/>
    </row>
    <row r="234" spans="3:7" ht="15.95" hidden="1" customHeight="1" x14ac:dyDescent="0.2">
      <c r="C234" s="100"/>
      <c r="D234" s="101"/>
      <c r="E234" s="101"/>
      <c r="F234" s="101"/>
      <c r="G234" s="101"/>
    </row>
    <row r="235" spans="3:7" ht="15.95" hidden="1" customHeight="1" x14ac:dyDescent="0.2">
      <c r="C235" s="100"/>
      <c r="D235" s="101"/>
      <c r="E235" s="101"/>
      <c r="F235" s="101"/>
      <c r="G235" s="101"/>
    </row>
    <row r="236" spans="3:7" ht="15.95" hidden="1" customHeight="1" x14ac:dyDescent="0.2">
      <c r="C236" s="100"/>
      <c r="D236" s="101"/>
      <c r="E236" s="101"/>
      <c r="F236" s="101"/>
      <c r="G236" s="101"/>
    </row>
    <row r="237" spans="3:7" ht="15.95" hidden="1" customHeight="1" x14ac:dyDescent="0.2">
      <c r="C237" s="100"/>
      <c r="D237" s="101"/>
      <c r="E237" s="101"/>
      <c r="F237" s="101"/>
      <c r="G237" s="101"/>
    </row>
    <row r="238" spans="3:7" ht="15.95" hidden="1" customHeight="1" x14ac:dyDescent="0.2"/>
    <row r="239" spans="3:7" ht="15.95" hidden="1" customHeight="1" x14ac:dyDescent="0.2"/>
    <row r="240" spans="3:7" ht="15.95" hidden="1" customHeight="1" x14ac:dyDescent="0.2"/>
    <row r="241" ht="15.95" hidden="1" customHeight="1" x14ac:dyDescent="0.2"/>
    <row r="242" ht="15.95" hidden="1" customHeight="1" x14ac:dyDescent="0.2"/>
    <row r="243" ht="15.95" hidden="1" customHeight="1" x14ac:dyDescent="0.2"/>
    <row r="244" ht="15.95" hidden="1" customHeight="1" x14ac:dyDescent="0.2"/>
    <row r="245" ht="15.95" hidden="1" customHeight="1" x14ac:dyDescent="0.2"/>
    <row r="246" ht="15.95" hidden="1" customHeight="1" x14ac:dyDescent="0.2"/>
    <row r="247" ht="15.95" hidden="1" customHeight="1" x14ac:dyDescent="0.2"/>
    <row r="248" ht="15.95" hidden="1" customHeight="1" x14ac:dyDescent="0.2"/>
    <row r="249" ht="15.95" hidden="1" customHeight="1" x14ac:dyDescent="0.2"/>
    <row r="250" ht="15.95" hidden="1" customHeight="1" x14ac:dyDescent="0.2"/>
    <row r="251" ht="15.95" hidden="1" customHeight="1" x14ac:dyDescent="0.2"/>
    <row r="252" ht="15.95" hidden="1" customHeight="1" x14ac:dyDescent="0.2"/>
    <row r="253" ht="15.95" hidden="1" customHeight="1" x14ac:dyDescent="0.2"/>
    <row r="254" ht="15.95" hidden="1" customHeight="1" x14ac:dyDescent="0.2"/>
    <row r="255" ht="15.95" hidden="1" customHeight="1" x14ac:dyDescent="0.2"/>
    <row r="256" ht="15.95" hidden="1" customHeight="1" x14ac:dyDescent="0.2"/>
    <row r="257" ht="15.95" hidden="1" customHeight="1" x14ac:dyDescent="0.2"/>
    <row r="258" ht="15.95" hidden="1" customHeight="1" x14ac:dyDescent="0.2"/>
    <row r="259" ht="15.95" hidden="1" customHeight="1" x14ac:dyDescent="0.2"/>
    <row r="260" ht="15.95" hidden="1" customHeight="1" x14ac:dyDescent="0.2"/>
    <row r="261" ht="15.95" hidden="1" customHeight="1" x14ac:dyDescent="0.2"/>
    <row r="262" ht="15.95" hidden="1" customHeight="1" x14ac:dyDescent="0.2"/>
    <row r="263" ht="15.95" hidden="1" customHeight="1" x14ac:dyDescent="0.2"/>
    <row r="264" ht="15.95" hidden="1" customHeight="1" x14ac:dyDescent="0.2"/>
    <row r="265" ht="15.95" hidden="1" customHeight="1" x14ac:dyDescent="0.2"/>
    <row r="266" ht="15.95" hidden="1" customHeight="1" x14ac:dyDescent="0.2"/>
    <row r="267" ht="15.95" hidden="1" customHeight="1" x14ac:dyDescent="0.2"/>
    <row r="268" ht="15.95" hidden="1" customHeight="1" x14ac:dyDescent="0.2"/>
    <row r="269" ht="15.95" hidden="1" customHeight="1" x14ac:dyDescent="0.2"/>
    <row r="270" ht="15.95" hidden="1" customHeight="1" x14ac:dyDescent="0.2"/>
    <row r="271" ht="15.95" hidden="1" customHeight="1" x14ac:dyDescent="0.2"/>
    <row r="272" ht="15.95" hidden="1" customHeight="1" x14ac:dyDescent="0.2"/>
    <row r="273" ht="15.95" hidden="1" customHeight="1" x14ac:dyDescent="0.2"/>
    <row r="274" ht="15.95" hidden="1" customHeight="1" x14ac:dyDescent="0.2"/>
    <row r="275" ht="15.95" hidden="1" customHeight="1" x14ac:dyDescent="0.2"/>
    <row r="276" ht="15.95" hidden="1" customHeight="1" x14ac:dyDescent="0.2"/>
    <row r="277" ht="15.95" hidden="1" customHeight="1" x14ac:dyDescent="0.2"/>
    <row r="278" ht="15.95" hidden="1" customHeight="1" x14ac:dyDescent="0.2"/>
  </sheetData>
  <sheetProtection algorithmName="SHA-512" hashValue="C0+EK3WPE1JHyYYKYVs7HZEZ5sgOUB6C9emgP8Zy08Xzm4/7v786PJofQxNdGfSQlaefYkp0L0gNnBdkfQqN8w==" saltValue="UIzWfFDKzqe5TbOJhzL3hQ==" spinCount="100000" sheet="1" objects="1" scenarios="1"/>
  <mergeCells count="12">
    <mergeCell ref="E101:F101"/>
    <mergeCell ref="K80:L80"/>
    <mergeCell ref="K101:L101"/>
    <mergeCell ref="E38:F38"/>
    <mergeCell ref="K38:L38"/>
    <mergeCell ref="E59:F59"/>
    <mergeCell ref="K59:L59"/>
    <mergeCell ref="B2:D2"/>
    <mergeCell ref="L2:N2"/>
    <mergeCell ref="E17:F17"/>
    <mergeCell ref="K17:L17"/>
    <mergeCell ref="E80:F80"/>
  </mergeCells>
  <phoneticPr fontId="2" type="noConversion"/>
  <conditionalFormatting sqref="C33:G38 C42:G48 C52:G52">
    <cfRule type="expression" dxfId="71" priority="58" stopIfTrue="1">
      <formula>$D$5&lt;3</formula>
    </cfRule>
  </conditionalFormatting>
  <conditionalFormatting sqref="I33:M52">
    <cfRule type="expression" dxfId="70" priority="51" stopIfTrue="1">
      <formula>$D$5&lt;4</formula>
    </cfRule>
  </conditionalFormatting>
  <conditionalFormatting sqref="C54:G59 C63:G69 C73:G73">
    <cfRule type="expression" dxfId="69" priority="57" stopIfTrue="1">
      <formula>$D$5&lt;5</formula>
    </cfRule>
  </conditionalFormatting>
  <conditionalFormatting sqref="I54:M73">
    <cfRule type="expression" dxfId="68" priority="52" stopIfTrue="1">
      <formula>$D$5&lt;6</formula>
    </cfRule>
  </conditionalFormatting>
  <conditionalFormatting sqref="C75:G80 C84:G90 C94:G94">
    <cfRule type="expression" dxfId="67" priority="56" stopIfTrue="1">
      <formula>$D$5&lt;7</formula>
    </cfRule>
  </conditionalFormatting>
  <conditionalFormatting sqref="I75:M94">
    <cfRule type="expression" dxfId="66" priority="53" stopIfTrue="1">
      <formula>$D$5&lt;8</formula>
    </cfRule>
  </conditionalFormatting>
  <conditionalFormatting sqref="C96:G101 C105:G111 C115:G115">
    <cfRule type="expression" dxfId="65" priority="55" stopIfTrue="1">
      <formula>$D$5&lt;9</formula>
    </cfRule>
  </conditionalFormatting>
  <conditionalFormatting sqref="I96:M115">
    <cfRule type="expression" dxfId="64" priority="54" stopIfTrue="1">
      <formula>$D$5&lt;10</formula>
    </cfRule>
  </conditionalFormatting>
  <conditionalFormatting sqref="I13 I12:L12 K13:L16 M12:M31 I17:L31 L50:M52 L71:M73 L92:M94 L113:M115">
    <cfRule type="expression" dxfId="63" priority="71" stopIfTrue="1">
      <formula>$D$5&lt;2</formula>
    </cfRule>
  </conditionalFormatting>
  <conditionalFormatting sqref="D63">
    <cfRule type="expression" dxfId="62" priority="140" stopIfTrue="1">
      <formula>$D$5&lt;3</formula>
    </cfRule>
  </conditionalFormatting>
  <conditionalFormatting sqref="D84">
    <cfRule type="expression" dxfId="61" priority="139" stopIfTrue="1">
      <formula>$D$5&lt;3</formula>
    </cfRule>
  </conditionalFormatting>
  <conditionalFormatting sqref="D105">
    <cfRule type="expression" dxfId="60" priority="138" stopIfTrue="1">
      <formula>$D$5&lt;3</formula>
    </cfRule>
  </conditionalFormatting>
  <conditionalFormatting sqref="J42">
    <cfRule type="expression" dxfId="59" priority="137" stopIfTrue="1">
      <formula>$D$5&lt;2</formula>
    </cfRule>
  </conditionalFormatting>
  <conditionalFormatting sqref="J63">
    <cfRule type="expression" dxfId="58" priority="136" stopIfTrue="1">
      <formula>$D$5&lt;2</formula>
    </cfRule>
  </conditionalFormatting>
  <conditionalFormatting sqref="J84">
    <cfRule type="expression" dxfId="57" priority="135" stopIfTrue="1">
      <formula>$D$5&lt;2</formula>
    </cfRule>
  </conditionalFormatting>
  <conditionalFormatting sqref="J105">
    <cfRule type="expression" dxfId="56" priority="134" stopIfTrue="1">
      <formula>$D$5&lt;2</formula>
    </cfRule>
  </conditionalFormatting>
  <conditionalFormatting sqref="K43:K45">
    <cfRule type="expression" dxfId="55" priority="133" stopIfTrue="1">
      <formula>$D$5&lt;2</formula>
    </cfRule>
  </conditionalFormatting>
  <conditionalFormatting sqref="K64:K66">
    <cfRule type="expression" dxfId="54" priority="132" stopIfTrue="1">
      <formula>$D$5&lt;2</formula>
    </cfRule>
  </conditionalFormatting>
  <conditionalFormatting sqref="K85:K87">
    <cfRule type="expression" dxfId="53" priority="131" stopIfTrue="1">
      <formula>$D$5&lt;2</formula>
    </cfRule>
  </conditionalFormatting>
  <conditionalFormatting sqref="K106:K108">
    <cfRule type="expression" dxfId="52" priority="130" stopIfTrue="1">
      <formula>$D$5&lt;2</formula>
    </cfRule>
  </conditionalFormatting>
  <conditionalFormatting sqref="E64:E66">
    <cfRule type="expression" dxfId="51" priority="129" stopIfTrue="1">
      <formula>$D$5&lt;3</formula>
    </cfRule>
  </conditionalFormatting>
  <conditionalFormatting sqref="E85:E87">
    <cfRule type="expression" dxfId="50" priority="128" stopIfTrue="1">
      <formula>$D$5&lt;3</formula>
    </cfRule>
  </conditionalFormatting>
  <conditionalFormatting sqref="E106:E108">
    <cfRule type="expression" dxfId="49" priority="127" stopIfTrue="1">
      <formula>$D$5&lt;3</formula>
    </cfRule>
  </conditionalFormatting>
  <conditionalFormatting sqref="F52:G52">
    <cfRule type="expression" dxfId="48" priority="123" stopIfTrue="1">
      <formula>$D$5&lt;2</formula>
    </cfRule>
  </conditionalFormatting>
  <conditionalFormatting sqref="F73:G73">
    <cfRule type="expression" dxfId="47" priority="121" stopIfTrue="1">
      <formula>$D$5&lt;2</formula>
    </cfRule>
  </conditionalFormatting>
  <conditionalFormatting sqref="F94:G94">
    <cfRule type="expression" dxfId="46" priority="119" stopIfTrue="1">
      <formula>$D$5&lt;2</formula>
    </cfRule>
  </conditionalFormatting>
  <conditionalFormatting sqref="F115:G115">
    <cfRule type="expression" dxfId="45" priority="117" stopIfTrue="1">
      <formula>$D$5&lt;2</formula>
    </cfRule>
  </conditionalFormatting>
  <conditionalFormatting sqref="I4:M4 C13 C17 C12:L12 J6:L6 J10:L10 C19:H19 E17:H18 H20 E13:H14 H16 K13:L16 C15:H15 I13:I16 C21:H115 M12:M115 I17:L115 C8:D9 I5:L5">
    <cfRule type="expression" dxfId="44" priority="61" stopIfTrue="1">
      <formula>$D$7="No"</formula>
    </cfRule>
  </conditionalFormatting>
  <conditionalFormatting sqref="M10 I6 I10">
    <cfRule type="expression" dxfId="43" priority="114">
      <formula>$D$7="No"</formula>
    </cfRule>
  </conditionalFormatting>
  <conditionalFormatting sqref="C18 C20:D20">
    <cfRule type="expression" dxfId="42" priority="59" stopIfTrue="1">
      <formula>$D$7="No"</formula>
    </cfRule>
  </conditionalFormatting>
  <conditionalFormatting sqref="E20:G20">
    <cfRule type="expression" dxfId="41" priority="109">
      <formula>$D$7="No"</formula>
    </cfRule>
  </conditionalFormatting>
  <conditionalFormatting sqref="D38:D39">
    <cfRule type="expression" dxfId="40" priority="74" stopIfTrue="1">
      <formula>$D$7="No"</formula>
    </cfRule>
  </conditionalFormatting>
  <conditionalFormatting sqref="C39:G41 D38:D39">
    <cfRule type="expression" dxfId="39" priority="68" stopIfTrue="1">
      <formula>$D$5&lt;3</formula>
    </cfRule>
  </conditionalFormatting>
  <conditionalFormatting sqref="K39:K41">
    <cfRule type="expression" dxfId="38" priority="106" stopIfTrue="1">
      <formula>$D$5&lt;2</formula>
    </cfRule>
  </conditionalFormatting>
  <conditionalFormatting sqref="C60:G62">
    <cfRule type="expression" dxfId="37" priority="67" stopIfTrue="1">
      <formula>$D$5&lt;5</formula>
    </cfRule>
  </conditionalFormatting>
  <conditionalFormatting sqref="K60:K62">
    <cfRule type="expression" dxfId="36" priority="102" stopIfTrue="1">
      <formula>$D$5&lt;2</formula>
    </cfRule>
  </conditionalFormatting>
  <conditionalFormatting sqref="E60:E62">
    <cfRule type="expression" dxfId="35" priority="101" stopIfTrue="1">
      <formula>$D$5&lt;3</formula>
    </cfRule>
  </conditionalFormatting>
  <conditionalFormatting sqref="C81:G83">
    <cfRule type="expression" dxfId="34" priority="69" stopIfTrue="1">
      <formula>$D$5&lt;7</formula>
    </cfRule>
  </conditionalFormatting>
  <conditionalFormatting sqref="K81:K83">
    <cfRule type="expression" dxfId="33" priority="97" stopIfTrue="1">
      <formula>$D$5&lt;2</formula>
    </cfRule>
  </conditionalFormatting>
  <conditionalFormatting sqref="E81:E83">
    <cfRule type="expression" dxfId="32" priority="96" stopIfTrue="1">
      <formula>$D$5&lt;3</formula>
    </cfRule>
  </conditionalFormatting>
  <conditionalFormatting sqref="C102:G104">
    <cfRule type="expression" dxfId="31" priority="65" stopIfTrue="1">
      <formula>$D$5&lt;9</formula>
    </cfRule>
  </conditionalFormatting>
  <conditionalFormatting sqref="K102:K104">
    <cfRule type="expression" dxfId="30" priority="92" stopIfTrue="1">
      <formula>$D$5&lt;2</formula>
    </cfRule>
  </conditionalFormatting>
  <conditionalFormatting sqref="E102:E104">
    <cfRule type="expression" dxfId="29" priority="91" stopIfTrue="1">
      <formula>$D$5&lt;3</formula>
    </cfRule>
  </conditionalFormatting>
  <conditionalFormatting sqref="I14:I16">
    <cfRule type="expression" dxfId="28" priority="89" stopIfTrue="1">
      <formula>$D$5&lt;2</formula>
    </cfRule>
  </conditionalFormatting>
  <conditionalFormatting sqref="C14 C16:D16">
    <cfRule type="expression" dxfId="27" priority="79" stopIfTrue="1">
      <formula>$D$7="No"</formula>
    </cfRule>
  </conditionalFormatting>
  <conditionalFormatting sqref="E16 G16">
    <cfRule type="expression" dxfId="26" priority="86">
      <formula>$D$7="No"</formula>
    </cfRule>
  </conditionalFormatting>
  <conditionalFormatting sqref="D13">
    <cfRule type="expression" dxfId="25" priority="85">
      <formula>$D$7="No"</formula>
    </cfRule>
  </conditionalFormatting>
  <conditionalFormatting sqref="J13">
    <cfRule type="expression" dxfId="24" priority="84" stopIfTrue="1">
      <formula>$D$5&lt;2</formula>
    </cfRule>
  </conditionalFormatting>
  <conditionalFormatting sqref="J13">
    <cfRule type="expression" dxfId="23" priority="83">
      <formula>$D$7="No"</formula>
    </cfRule>
  </conditionalFormatting>
  <conditionalFormatting sqref="J14:J16">
    <cfRule type="expression" dxfId="22" priority="73" stopIfTrue="1">
      <formula>$D$5&lt;2</formula>
    </cfRule>
  </conditionalFormatting>
  <conditionalFormatting sqref="J14:J16">
    <cfRule type="expression" dxfId="21" priority="76" stopIfTrue="1">
      <formula>$D$7="No"</formula>
    </cfRule>
  </conditionalFormatting>
  <conditionalFormatting sqref="F16">
    <cfRule type="expression" dxfId="20" priority="60">
      <formula>$D$7="No"</formula>
    </cfRule>
  </conditionalFormatting>
  <conditionalFormatting sqref="J7:L9">
    <cfRule type="expression" dxfId="19" priority="50">
      <formula>$D$7="No"</formula>
    </cfRule>
  </conditionalFormatting>
  <conditionalFormatting sqref="C49:G50">
    <cfRule type="expression" dxfId="18" priority="41" stopIfTrue="1">
      <formula>$D$5&lt;3</formula>
    </cfRule>
  </conditionalFormatting>
  <conditionalFormatting sqref="F50:G50">
    <cfRule type="expression" dxfId="17" priority="44" stopIfTrue="1">
      <formula>$D$5&lt;2</formula>
    </cfRule>
  </conditionalFormatting>
  <conditionalFormatting sqref="C70:G71">
    <cfRule type="expression" dxfId="16" priority="36" stopIfTrue="1">
      <formula>$D$5&lt;5</formula>
    </cfRule>
  </conditionalFormatting>
  <conditionalFormatting sqref="F71:G71">
    <cfRule type="expression" dxfId="15" priority="39" stopIfTrue="1">
      <formula>$D$5&lt;2</formula>
    </cfRule>
  </conditionalFormatting>
  <conditionalFormatting sqref="C91:G92">
    <cfRule type="expression" dxfId="14" priority="31" stopIfTrue="1">
      <formula>$D$5&lt;7</formula>
    </cfRule>
  </conditionalFormatting>
  <conditionalFormatting sqref="F92:G92">
    <cfRule type="expression" dxfId="13" priority="34" stopIfTrue="1">
      <formula>$D$5&lt;2</formula>
    </cfRule>
  </conditionalFormatting>
  <conditionalFormatting sqref="C112:G113">
    <cfRule type="expression" dxfId="12" priority="26" stopIfTrue="1">
      <formula>$D$5&lt;9</formula>
    </cfRule>
  </conditionalFormatting>
  <conditionalFormatting sqref="F113:G113">
    <cfRule type="expression" dxfId="11" priority="29" stopIfTrue="1">
      <formula>$D$5&lt;2</formula>
    </cfRule>
  </conditionalFormatting>
  <conditionalFormatting sqref="D14 D17:D18">
    <cfRule type="expression" dxfId="10" priority="24" stopIfTrue="1">
      <formula>$D$7="No"</formula>
    </cfRule>
  </conditionalFormatting>
  <conditionalFormatting sqref="I7:I9">
    <cfRule type="expression" dxfId="9" priority="22">
      <formula>$D$7="No"</formula>
    </cfRule>
  </conditionalFormatting>
  <conditionalFormatting sqref="C51:G51">
    <cfRule type="expression" dxfId="8" priority="18" stopIfTrue="1">
      <formula>$D$5&lt;3</formula>
    </cfRule>
  </conditionalFormatting>
  <conditionalFormatting sqref="F51:G51">
    <cfRule type="expression" dxfId="7" priority="21" stopIfTrue="1">
      <formula>$D$5&lt;2</formula>
    </cfRule>
  </conditionalFormatting>
  <conditionalFormatting sqref="C72:G72">
    <cfRule type="expression" dxfId="6" priority="13" stopIfTrue="1">
      <formula>$D$5&lt;5</formula>
    </cfRule>
  </conditionalFormatting>
  <conditionalFormatting sqref="F72:G72">
    <cfRule type="expression" dxfId="5" priority="16" stopIfTrue="1">
      <formula>$D$5&lt;2</formula>
    </cfRule>
  </conditionalFormatting>
  <conditionalFormatting sqref="C93:G93">
    <cfRule type="expression" dxfId="4" priority="8" stopIfTrue="1">
      <formula>$D$5&lt;7</formula>
    </cfRule>
  </conditionalFormatting>
  <conditionalFormatting sqref="F93:G93">
    <cfRule type="expression" dxfId="3" priority="11" stopIfTrue="1">
      <formula>$D$5&lt;2</formula>
    </cfRule>
  </conditionalFormatting>
  <conditionalFormatting sqref="C114:G114">
    <cfRule type="expression" dxfId="2" priority="3" stopIfTrue="1">
      <formula>$D$5&lt;9</formula>
    </cfRule>
  </conditionalFormatting>
  <conditionalFormatting sqref="F114:G114">
    <cfRule type="expression" dxfId="1" priority="6" stopIfTrue="1">
      <formula>$D$5&lt;2</formula>
    </cfRule>
  </conditionalFormatting>
  <conditionalFormatting sqref="D7">
    <cfRule type="expression" dxfId="0" priority="1">
      <formula>$D$7="No"</formula>
    </cfRule>
  </conditionalFormatting>
  <dataValidations count="22">
    <dataValidation type="custom" allowBlank="1" showInputMessage="1" showErrorMessage="1" sqref="D101 J80 D59 D38 J17 D80 J38 D17 J59 J101">
      <formula1>IF(D17&gt;=0,TRUE,FALSE)</formula1>
    </dataValidation>
    <dataValidation type="whole" allowBlank="1" showInputMessage="1" showErrorMessage="1" sqref="D55 J97 D76 J55 J13 J34 J76 D34 D97">
      <formula1>1</formula1>
      <formula2>52</formula2>
    </dataValidation>
    <dataValidation type="custom" allowBlank="1" showInputMessage="1" showErrorMessage="1" error="If you meet the Work, Training, Study Test, total weekly hours should be no more than 50 hours._x000a__x000a_If you DON'T meet the Work, Training, Study Test, total weekly hours should be no more than 24 hours." prompt="If you meet the Activity Test, total weekly hours across multiple care types should be no more than the Maximum hours of subsidy._x000a__x000a_If you DON'T meet the Activity Test, please DON'T use this calculator." sqref="D106:D108">
      <formula1>IF(AND($D$106&gt;=0,$D$107&gt;=0,$D$108&gt;=0,SUM($D$106:$D$108)&lt;=60),TRUE,FALSE)</formula1>
    </dataValidation>
    <dataValidation type="custom" allowBlank="1" showInputMessage="1" showErrorMessage="1" error="If you meet the Work, Training, Study Test, total weekly hours should be no more than 50 hours._x000a__x000a_If you DON'T meet the Work, Training, Study Test, total weekly hours should be no more than 24 hours." prompt="If you meet the Activity Test, total weekly hours across multiple care types should be no more than the Maximum hours of subsidy._x000a__x000a_If you DON'T meet the Activity Test, please DON'T use this calculator." sqref="J106:J108">
      <formula1>IF(AND($J$106&gt;=0,$J$107&gt;=0,$J$108&gt;=0,SUM($J$106:$J$108)&lt;=60),TRUE,FALSE)</formula1>
    </dataValidation>
    <dataValidation type="custom" allowBlank="1" showInputMessage="1" showErrorMessage="1" error="If you meet the Work, Training, Study Test, total weekly hours should be no more than 50 hours._x000a__x000a_If you DON'T meet the Work, Training, Study Test, total weekly hours should be no more than 24 hours." prompt="If you meet the Activity Test, total weekly hours across multiple care types should be no more than the Maximum hours of subsidy._x000a__x000a_If you DON'T meet the Activity Test, please DON'T use this calculator." sqref="D85:D87">
      <formula1>IF(AND($D$85&gt;=0,$D$86&gt;=0,$D$87&gt;=0,SUM($D$85:$D$87)&lt;=60),TRUE,FALSE)</formula1>
    </dataValidation>
    <dataValidation type="custom" allowBlank="1" showInputMessage="1" showErrorMessage="1" error="If you meet the Work, Training, Study Test, total weekly hours should be no more than 50 hours._x000a__x000a_If you DON'T meet the Work, Training, Study Test, total weekly hours should be no more than 24 hours." prompt="If you meet the Activity Test, total weekly hours across multiple care types should be no more than the Maximum hours of subsidy._x000a__x000a_If you DON'T meet the Activity Test, please DON'T use this calculator." sqref="J85:J87">
      <formula1>IF(AND($J$85&gt;=0,$J$86&gt;=0,$J$87&gt;=0,SUM($J$85:$J$87)&lt;=60),TRUE,FALSE)</formula1>
    </dataValidation>
    <dataValidation type="custom" allowBlank="1" showInputMessage="1" showErrorMessage="1" error="If you meet the Work, Training, Study Test, total weekly hours should be no more than 50 hours._x000a__x000a_If you DON'T meet the Work, Training, Study Test, total weekly hours should be no more than 24 hours." prompt="If you meet the Activity Test, total weekly hours across multiple care types should be no more than the Maximum hours of subsidy._x000a__x000a_If you DON'T meet the Activity Test, please DON'T use this calculator." sqref="D64:D66">
      <formula1>IF(AND($D$64&gt;=0,$D$65&gt;=0,$D$66&gt;=0,SUM($D$64:$D$66)&lt;=60),TRUE,FALSE)</formula1>
    </dataValidation>
    <dataValidation type="custom" allowBlank="1" showInputMessage="1" showErrorMessage="1" error="If you meet the Work, Training, Study Test, total weekly hours should be no more than 50 hours._x000a__x000a_If you DON'T meet the Work, Training, Study Test, total weekly hours should be no more than 24 hours." prompt="If you meet the Activity Test, total weekly hours across multiple care types should be no more than the Maximum hours of subsidy._x000a__x000a_If you DON'T meet the Activity Test, please DON'T use this calculator." sqref="J64:J66">
      <formula1>IF(AND($J$64&gt;=0,$J$65&gt;=0,$J$66&gt;=0,SUM($J$64:$J$66)&lt;=60),TRUE,FALSE)</formula1>
    </dataValidation>
    <dataValidation type="custom" allowBlank="1" showInputMessage="1" showErrorMessage="1" error="If you meet the Work, Training, Study Test, total weekly hours should be no more than 50 hours._x000a__x000a_If you DON'T meet the Work, Training, Study Test, total weekly hours should be no more than 24 hours." prompt="If you meet the Activity Test, total weekly hours across multiple care types should be no more than the Maximum hours of subsidy._x000a__x000a_If you DON'T meet the Activity Test, please DON'T use this calculator." sqref="D43:D45">
      <formula1>IF(AND($D$43&gt;=0,$D$44&gt;=0,$D$45&gt;=0,SUM($D$43:$D$45)&lt;=60),TRUE,FALSE)</formula1>
    </dataValidation>
    <dataValidation type="custom" allowBlank="1" showInputMessage="1" showErrorMessage="1" error="If you meet the Work, Training, Study Test, total weekly hours should be no more than 50 hours._x000a__x000a_If you DON'T meet the Work, Training, Study Test, total weekly hours should be no more than 24 hours." prompt="If you meet the Activity Test, total weekly hours across multiple care types should be no more than the Maximum hours of subsidy._x000a__x000a_If you DON'T meet the Activity Test, please DON'T use this calculator." sqref="J43:J45">
      <formula1>IF(AND($J$43&gt;=0,$J$44&gt;=0,$J$45&gt;=0,SUM($J$43:$J$45)&lt;=60),TRUE,FALSE)</formula1>
    </dataValidation>
    <dataValidation type="custom" allowBlank="1" showInputMessage="1" showErrorMessage="1" error="If you meet the Work, Training, Study Test, total weekly hours should be no more than 50 hours._x000a__x000a_If you DON'T meet the Work, Training, Study Test, total weekly hours should be no more than 24 hours." prompt="If you meet the Activity Test, total weekly hours across multiple care types should be no more than the Maximum hours of subsidy._x000a__x000a_If you DON'T meet the Activity Test, please DON'T use this calculator." sqref="J22:J24">
      <formula1>IF(AND($J$22&gt;=0,$J$23&gt;=0,$J$24&gt;=0,SUM($J$22:$J$24)&lt;=60),TRUE,FALSE)</formula1>
    </dataValidation>
    <dataValidation allowBlank="1" showInputMessage="1" showErrorMessage="1" promptTitle="Put Your Notes Here" prompt="You can input your own notes here. For example, when your child is going to start child care, how much child care centres you have applied, or most importantly, a reminder to apply for the CCR and CCB." sqref="D11:E11"/>
    <dataValidation type="list" allowBlank="1" showInputMessage="1" showErrorMessage="1" prompt="Choose &quot;Yes&quot; or &quot;No&quot;._x000a__x000a_If you choose &quot;No&quot;, please don't use this calculator although you may still be assisted through the new Child Care Safety Net." sqref="D7">
      <formula1>"Yes,No"</formula1>
    </dataValidation>
    <dataValidation type="list" allowBlank="1" showInputMessage="1" showErrorMessage="1" sqref="D8">
      <formula1>"8 hours to 16 hours,17 hours to 48 hours,more than 48 hours"</formula1>
    </dataValidation>
    <dataValidation type="list" allowBlank="1" showInputMessage="1" showErrorMessage="1" sqref="D5">
      <formula1>"1,2,3,4,5,6,7,8,9,10"</formula1>
    </dataValidation>
    <dataValidation type="custom" allowBlank="1" showInputMessage="1" showErrorMessage="1" errorTitle="Too many hours!" error="If you meet the Work, Training, Study Test, total weekly hours should be no more than 50 hours._x000a__x000a_If you DON'T meet the Work, Training, Study Test, total weekly hours should be no more than 24 hours." prompt="If you meet the Activity Test, total weekly hours across multiple care types should be no more than the Maximum hours of subsidy._x000a__x000a_If you DON'T meet the Activity Test, please DON'T use this calculator." sqref="D22:D24">
      <formula1>IF(AND($D$22&gt;=0,$D$23&gt;=0,$D$24&gt;=0,SUM($D$22:$D$24)&lt;=60),TRUE,FALSE)</formula1>
    </dataValidation>
    <dataValidation type="decimal" allowBlank="1" showInputMessage="1" showErrorMessage="1" error="If you meet the Work, Training, Study Test, total weekly hours should be no more than 50 hours._x000a__x000a_If you DON'T meet the Work, Training, Study Test, total weekly hours should be no more than 24 hours." prompt="Weekly fee. Please input." sqref="D39:D41">
      <formula1>0</formula1>
      <formula2>2000</formula2>
    </dataValidation>
    <dataValidation type="decimal" allowBlank="1" showErrorMessage="1" error="If you meet the Work, Training, Study Test, total weekly hours should be no more than 50 hours._x000a__x000a_If you DON'T meet the Work, Training, Study Test, total weekly hours should be no more than 24 hours." prompt="If you meet the Activity Test, total weekly hours across multiple care types should be no more than the Maximum hours of subsidy._x000a__x000a_If you DON'T meet the Activity Test, please DON'T use this calculator." sqref="J39:J41">
      <formula1>0</formula1>
      <formula2>2000</formula2>
    </dataValidation>
    <dataValidation type="decimal" allowBlank="1" showInputMessage="1" showErrorMessage="1" sqref="D60:D62 D81:D83 J60:J62 J81:J83 D102:D104 J102:J104">
      <formula1>0</formula1>
      <formula2>2000</formula2>
    </dataValidation>
    <dataValidation type="decimal" allowBlank="1" showInputMessage="1" showErrorMessage="1" prompt="Weekly fee. Please input." sqref="D18:D20 J18:J20">
      <formula1>0</formula1>
      <formula2>2000</formula2>
    </dataValidation>
    <dataValidation type="whole" allowBlank="1" showInputMessage="1" showErrorMessage="1" prompt="Please input. No more than 52 weeks." sqref="J14:J16 D14:D16">
      <formula1>0</formula1>
      <formula2>52</formula2>
    </dataValidation>
    <dataValidation type="whole" allowBlank="1" showInputMessage="1" showErrorMessage="1" sqref="D35:D37 J35:J37 D56:D58 J56:J58 D77:D79 J77:J79 D98:D100 J98:J100">
      <formula1>0</formula1>
      <formula2>52</formula2>
    </dataValidation>
  </dataValidations>
  <hyperlinks>
    <hyperlink ref="C121" r:id="rId1"/>
  </hyperlinks>
  <printOptions horizontalCentered="1" verticalCentered="1"/>
  <pageMargins left="0.74803149606299213" right="0.74803149606299213" top="0.98425196850393704" bottom="0.98425196850393704" header="0.51181102362204722" footer="0.51181102362204722"/>
  <pageSetup paperSize="9" scale="75" orientation="landscape" r:id="rId2"/>
  <headerFooter alignWithMargins="0"/>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Rates!$E$19:$E$21</xm:f>
          </x14:formula1>
          <xm:sqref>F14:F16 L14:L16 F35:F37 L35:L37 F56:F58 L56:L58 F77:F79 L77:L79 F98:F100 L98:L100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workbookViewId="0">
      <pane xSplit="1" ySplit="1" topLeftCell="B2" activePane="bottomRight" state="frozen"/>
      <selection pane="topRight" activeCell="B1" sqref="B1"/>
      <selection pane="bottomLeft" activeCell="A2" sqref="A2"/>
      <selection pane="bottomRight" activeCell="G2" sqref="G2"/>
    </sheetView>
  </sheetViews>
  <sheetFormatPr defaultColWidth="9.140625" defaultRowHeight="18" customHeight="1" x14ac:dyDescent="0.2"/>
  <cols>
    <col min="1" max="1" width="16" style="69" bestFit="1" customWidth="1"/>
    <col min="2" max="2" width="15" style="69" bestFit="1" customWidth="1"/>
    <col min="3" max="3" width="10.140625" style="69" bestFit="1" customWidth="1"/>
    <col min="4" max="4" width="27.7109375" style="69" bestFit="1" customWidth="1"/>
    <col min="5" max="5" width="16.140625" style="69" bestFit="1" customWidth="1"/>
    <col min="6" max="6" width="25.85546875" style="69" bestFit="1" customWidth="1"/>
    <col min="7" max="7" width="13.85546875" style="69" bestFit="1" customWidth="1"/>
    <col min="8" max="16384" width="9.140625" style="69"/>
  </cols>
  <sheetData>
    <row r="1" spans="1:8" s="66" customFormat="1" ht="18" customHeight="1" x14ac:dyDescent="0.2">
      <c r="A1" s="64" t="s">
        <v>6</v>
      </c>
      <c r="B1" s="65" t="s">
        <v>23</v>
      </c>
      <c r="C1" s="65" t="s">
        <v>80</v>
      </c>
      <c r="D1" s="65" t="s">
        <v>81</v>
      </c>
      <c r="E1" s="65" t="s">
        <v>82</v>
      </c>
      <c r="F1" s="65" t="s">
        <v>83</v>
      </c>
      <c r="G1" s="66" t="s">
        <v>89</v>
      </c>
    </row>
    <row r="2" spans="1:8" ht="18" customHeight="1" x14ac:dyDescent="0.2">
      <c r="A2" s="67">
        <v>1</v>
      </c>
      <c r="B2" s="68">
        <f>IF(A2&gt;Calculator!$D$5,0,Calculator!D13*Calculator!D17)</f>
        <v>30000</v>
      </c>
      <c r="C2" s="108">
        <f>IF(A2&gt;Calculator!$D$5,0,Calculator!$D$13)</f>
        <v>50</v>
      </c>
      <c r="D2" s="108">
        <f>IF(A2&gt;Calculator!$D$5,0,Calculator!$D$22)</f>
        <v>50</v>
      </c>
      <c r="E2" s="108">
        <f>IF(A2&gt;Calculator!$D$5,0,Calculator!$D$23)</f>
        <v>0</v>
      </c>
      <c r="F2" s="108">
        <f>IF(A2&gt;Calculator!$D$5,0,Calculator!$D$24)</f>
        <v>0</v>
      </c>
      <c r="G2" s="70">
        <f>IF(A2&gt;Calculator!$D$5,0,Calculator!E27)</f>
        <v>16277.713833333331</v>
      </c>
      <c r="H2" s="70"/>
    </row>
    <row r="3" spans="1:8" ht="18" customHeight="1" x14ac:dyDescent="0.2">
      <c r="A3" s="67">
        <v>2</v>
      </c>
      <c r="B3" s="68">
        <f>IF(A3&gt;Calculator!$D$5,0,Calculator!J13*Calculator!J17)</f>
        <v>24000</v>
      </c>
      <c r="C3" s="108">
        <f>IF(A3&gt;Calculator!$D$5,0,Calculator!$J$13)</f>
        <v>50</v>
      </c>
      <c r="D3" s="108">
        <f>IF(A3&gt;Calculator!$D$5,0,Calculator!$J$22)</f>
        <v>30</v>
      </c>
      <c r="E3" s="108">
        <f>IF(A3&gt;Calculator!$D$5,0,Calculator!$J$23)</f>
        <v>20</v>
      </c>
      <c r="F3" s="108">
        <f>IF(A3&gt;Calculator!$D$5,0,Calculator!$J$24)</f>
        <v>0</v>
      </c>
      <c r="G3" s="70">
        <f>IF(A3&gt;Calculator!$D$5,0,Calculator!K27)</f>
        <v>13276.64</v>
      </c>
    </row>
    <row r="4" spans="1:8" ht="18" customHeight="1" x14ac:dyDescent="0.2">
      <c r="A4" s="67">
        <v>3</v>
      </c>
      <c r="B4" s="68">
        <f>IF(A4&gt;Calculator!$D$5,0,Calculator!D34*Calculator!D38)</f>
        <v>7350</v>
      </c>
      <c r="C4" s="108">
        <f>IF(A4&gt;Calculator!$D$5,0,Calculator!$D$34)</f>
        <v>42</v>
      </c>
      <c r="D4" s="108">
        <f>IF(A4&gt;Calculator!$D$5,0,Calculator!$D$43)</f>
        <v>0</v>
      </c>
      <c r="E4" s="108">
        <f>IF(A4&gt;Calculator!$D$5,0,Calculator!$D$44)</f>
        <v>0</v>
      </c>
      <c r="F4" s="108">
        <f>IF(A4&gt;Calculator!$D$5,0,Calculator!$D$45)</f>
        <v>15</v>
      </c>
      <c r="G4" s="70">
        <f>IF(A4&gt;Calculator!$D$5,0,Calculator!E48)</f>
        <v>3586.1864219999993</v>
      </c>
    </row>
    <row r="5" spans="1:8" ht="18" customHeight="1" x14ac:dyDescent="0.2">
      <c r="A5" s="67">
        <v>4</v>
      </c>
      <c r="B5" s="68">
        <f>IF(A5&gt;Calculator!$D$5,0,Calculator!J34*Calculator!J38)</f>
        <v>25000</v>
      </c>
      <c r="C5" s="108">
        <f>IF(A5&gt;Calculator!$D$5,0,Calculator!$J$34)</f>
        <v>50</v>
      </c>
      <c r="D5" s="108">
        <f>IF(A5&gt;Calculator!$D$5,0,Calculator!$J$43)</f>
        <v>52.5</v>
      </c>
      <c r="E5" s="108">
        <f>IF(A5&gt;Calculator!$D$5,0,Calculator!$J$44)</f>
        <v>0</v>
      </c>
      <c r="F5" s="108">
        <f>IF(A5&gt;Calculator!$D$5,0,Calculator!$J$45)</f>
        <v>0</v>
      </c>
      <c r="G5" s="70">
        <f>IF(A5&gt;Calculator!$D$5,0,Calculator!K48)</f>
        <v>13171.269841269841</v>
      </c>
    </row>
    <row r="6" spans="1:8" ht="18" customHeight="1" x14ac:dyDescent="0.2">
      <c r="A6" s="67">
        <v>5</v>
      </c>
      <c r="B6" s="68">
        <f>IF(A6&gt;Calculator!$D$5,0,Calculator!D55*Calculator!D59)</f>
        <v>25000</v>
      </c>
      <c r="C6" s="108">
        <f>IF(A6&gt;Calculator!$D$5,0,Calculator!$D$55)</f>
        <v>50</v>
      </c>
      <c r="D6" s="108">
        <f>IF(A6&gt;Calculator!$D$5,0,Calculator!$D$64)</f>
        <v>50</v>
      </c>
      <c r="E6" s="108">
        <f>IF(A6&gt;Calculator!$D$5,0,Calculator!$D$65)</f>
        <v>0</v>
      </c>
      <c r="F6" s="108">
        <f>IF(A6&gt;Calculator!$D$5,0,Calculator!$D$66)</f>
        <v>0</v>
      </c>
      <c r="G6" s="70">
        <f>IF(A6&gt;Calculator!$D$5,0,Calculator!E69)</f>
        <v>13829.833333333332</v>
      </c>
    </row>
    <row r="7" spans="1:8" ht="18" customHeight="1" x14ac:dyDescent="0.2">
      <c r="A7" s="67">
        <v>6</v>
      </c>
      <c r="B7" s="68">
        <f>IF(A7&gt;Calculator!$D$5,0,Calculator!J55*Calculator!J59)</f>
        <v>25000</v>
      </c>
      <c r="C7" s="108">
        <f>IF(A7&gt;Calculator!$D$5,0,Calculator!$J$55)</f>
        <v>50</v>
      </c>
      <c r="D7" s="108">
        <f>IF(A7&gt;Calculator!$D$5,0,Calculator!$J$64)</f>
        <v>50</v>
      </c>
      <c r="E7" s="108">
        <f>IF(A7&gt;Calculator!$D$5,0,Calculator!$J$65)</f>
        <v>0</v>
      </c>
      <c r="F7" s="108">
        <f>IF(A7&gt;Calculator!$D$5,0,Calculator!$J$66)</f>
        <v>0</v>
      </c>
      <c r="G7" s="70">
        <f>IF(A7&gt;Calculator!$D$5,0,Calculator!K69)</f>
        <v>13829.833333333332</v>
      </c>
    </row>
    <row r="8" spans="1:8" ht="18" customHeight="1" x14ac:dyDescent="0.2">
      <c r="A8" s="67">
        <v>7</v>
      </c>
      <c r="B8" s="68">
        <f>IF(A8&gt;Calculator!$D$5,0,Calculator!D76*Calculator!D80)</f>
        <v>25000</v>
      </c>
      <c r="C8" s="108">
        <f>IF(A8&gt;Calculator!$D$5,0,Calculator!$D$76)</f>
        <v>50</v>
      </c>
      <c r="D8" s="108">
        <f>IF(A8&gt;Calculator!$D$5,0,Calculator!$D$85)</f>
        <v>50</v>
      </c>
      <c r="E8" s="108">
        <f>IF(A8&gt;Calculator!$D$5,0,Calculator!$D$86)</f>
        <v>0</v>
      </c>
      <c r="F8" s="108">
        <f>IF(A8&gt;Calculator!$D$5,0,Calculator!$D$87)</f>
        <v>0</v>
      </c>
      <c r="G8" s="70">
        <f>IF(A8&gt;Calculator!$D$5,0,Calculator!E90)</f>
        <v>13829.833333333332</v>
      </c>
    </row>
    <row r="9" spans="1:8" ht="18" customHeight="1" x14ac:dyDescent="0.2">
      <c r="A9" s="67">
        <v>8</v>
      </c>
      <c r="B9" s="68">
        <f>IF(A9&gt;Calculator!$D$5,0,Calculator!J76*Calculator!J80)</f>
        <v>25000</v>
      </c>
      <c r="C9" s="108">
        <f>IF(A9&gt;Calculator!$D$5,0,Calculator!$J$76)</f>
        <v>50</v>
      </c>
      <c r="D9" s="108">
        <f>IF(A9&gt;Calculator!$D$5,0,Calculator!$J$85)</f>
        <v>50</v>
      </c>
      <c r="E9" s="108">
        <f>IF(A9&gt;Calculator!$D$5,0,Calculator!$J$86)</f>
        <v>0</v>
      </c>
      <c r="F9" s="108">
        <f>IF(A9&gt;Calculator!$D$5,0,Calculator!$J$87)</f>
        <v>0</v>
      </c>
      <c r="G9" s="70">
        <f>IF(A9&gt;Calculator!$D$5,0,Calculator!K90)</f>
        <v>13829.833333333332</v>
      </c>
    </row>
    <row r="10" spans="1:8" ht="18" customHeight="1" x14ac:dyDescent="0.2">
      <c r="A10" s="67">
        <v>9</v>
      </c>
      <c r="B10" s="68">
        <f>IF(A10&gt;Calculator!$D$5,0,Calculator!D97*Calculator!D101)</f>
        <v>25000</v>
      </c>
      <c r="C10" s="108">
        <f>IF(A10&gt;Calculator!$D$5,0,Calculator!$D$97)</f>
        <v>50</v>
      </c>
      <c r="D10" s="108">
        <f>IF(A10&gt;Calculator!$D$5,0,Calculator!$D$106)</f>
        <v>50</v>
      </c>
      <c r="E10" s="108">
        <f>IF(A10&gt;Calculator!$D$5,0,Calculator!$D$107)</f>
        <v>0</v>
      </c>
      <c r="F10" s="108">
        <f>IF(A10&gt;Calculator!$D$5,0,Calculator!$D$108)</f>
        <v>0</v>
      </c>
      <c r="G10" s="70">
        <f>IF(A10&gt;Calculator!$D$5,0,Calculator!E111)</f>
        <v>13829.833333333332</v>
      </c>
    </row>
    <row r="11" spans="1:8" ht="18" customHeight="1" x14ac:dyDescent="0.2">
      <c r="A11" s="67">
        <v>10</v>
      </c>
      <c r="B11" s="68">
        <f>IF(A11&gt;Calculator!$D$5,0,Calculator!J97*Calculator!J101)</f>
        <v>25000</v>
      </c>
      <c r="C11" s="108">
        <f>IF(A11&gt;Calculator!$D$5,0,Calculator!$J$97)</f>
        <v>50</v>
      </c>
      <c r="D11" s="108">
        <f>IF(A11&gt;Calculator!$D$5,0,Calculator!$J$106)</f>
        <v>50</v>
      </c>
      <c r="E11" s="108">
        <f>IF(A11&gt;Calculator!$D$5,0,Calculator!$J$107)</f>
        <v>0</v>
      </c>
      <c r="F11" s="108">
        <f>IF(A11&gt;Calculator!$D$5,0,Calculator!$J$108)</f>
        <v>0</v>
      </c>
      <c r="G11" s="70">
        <f>IF(A11&gt;Calculator!$D$5,0,Calculator!K111)</f>
        <v>13829.833333333332</v>
      </c>
    </row>
    <row r="13" spans="1:8" s="71" customFormat="1" ht="18" customHeight="1" x14ac:dyDescent="0.2"/>
    <row r="20" s="71" customFormat="1" ht="18" customHeight="1" x14ac:dyDescent="0.2"/>
    <row r="23" s="71" customFormat="1" ht="18" customHeight="1" x14ac:dyDescent="0.2"/>
  </sheetData>
  <phoneticPr fontId="2" type="noConversion"/>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2"/>
  <sheetViews>
    <sheetView showGridLines="0" workbookViewId="0"/>
  </sheetViews>
  <sheetFormatPr defaultColWidth="0" defaultRowHeight="18" customHeight="1" zeroHeight="1" x14ac:dyDescent="0.2"/>
  <cols>
    <col min="1" max="2" width="2.7109375" customWidth="1"/>
    <col min="3" max="3" width="36.28515625" bestFit="1" customWidth="1"/>
    <col min="4" max="4" width="16.7109375" customWidth="1"/>
    <col min="5" max="5" width="22.7109375" customWidth="1"/>
    <col min="6" max="6" width="8.7109375" customWidth="1"/>
    <col min="7" max="7" width="12.7109375" customWidth="1"/>
    <col min="8" max="8" width="12.7109375" hidden="1" customWidth="1"/>
    <col min="9" max="10" width="2.7109375" customWidth="1"/>
    <col min="11" max="15" width="9.140625" hidden="1" customWidth="1"/>
    <col min="16" max="21" width="0" hidden="1" customWidth="1"/>
    <col min="22" max="16384" width="9.140625" hidden="1"/>
  </cols>
  <sheetData>
    <row r="1" spans="1:16" s="5" customFormat="1" ht="32.1" customHeight="1" thickBot="1" x14ac:dyDescent="0.25">
      <c r="A1" s="51" t="s">
        <v>95</v>
      </c>
      <c r="B1" s="51"/>
      <c r="C1" s="51"/>
      <c r="D1" s="52"/>
      <c r="E1" s="55"/>
      <c r="F1" s="56"/>
      <c r="G1" s="57"/>
      <c r="H1" s="57"/>
      <c r="I1" s="53"/>
      <c r="J1" s="58"/>
      <c r="K1" s="3"/>
      <c r="L1" s="3"/>
      <c r="M1" s="3"/>
      <c r="N1" s="3"/>
      <c r="O1" s="3"/>
      <c r="P1" s="3"/>
    </row>
    <row r="2" spans="1:16" s="45" customFormat="1" ht="15.95" customHeight="1" x14ac:dyDescent="0.2">
      <c r="A2" s="116"/>
      <c r="B2" s="173" t="s">
        <v>7</v>
      </c>
      <c r="C2" s="174"/>
      <c r="D2" s="60"/>
      <c r="E2" s="60"/>
      <c r="F2" s="60"/>
      <c r="G2" s="60"/>
      <c r="H2" s="61"/>
      <c r="I2" s="63" t="str">
        <f ca="1">"© 2008-"&amp;YEAR(TODAY())&amp;" Patrick Shi"</f>
        <v>© 2008-2018 Patrick Shi</v>
      </c>
      <c r="J2" s="63"/>
      <c r="K2" s="44"/>
      <c r="L2" s="44"/>
      <c r="M2" s="44"/>
      <c r="N2" s="44"/>
      <c r="O2" s="44"/>
      <c r="P2" s="44"/>
    </row>
    <row r="3" spans="1:16" s="45" customFormat="1" ht="15.95" customHeight="1" x14ac:dyDescent="0.2">
      <c r="A3" s="54"/>
      <c r="J3" s="54"/>
      <c r="K3" s="44"/>
      <c r="L3" s="44"/>
      <c r="M3" s="44"/>
      <c r="N3" s="44"/>
      <c r="O3" s="44"/>
      <c r="P3" s="44"/>
    </row>
    <row r="4" spans="1:16" s="45" customFormat="1" ht="15.95" customHeight="1" x14ac:dyDescent="0.2">
      <c r="A4" s="54"/>
      <c r="C4" s="71" t="s">
        <v>103</v>
      </c>
      <c r="J4" s="54"/>
      <c r="K4" s="44"/>
      <c r="L4" s="44"/>
      <c r="M4" s="44"/>
      <c r="N4" s="44"/>
      <c r="O4" s="44"/>
      <c r="P4" s="44"/>
    </row>
    <row r="5" spans="1:16" ht="18" customHeight="1" x14ac:dyDescent="0.2">
      <c r="A5" s="54"/>
      <c r="C5" s="117" t="s">
        <v>84</v>
      </c>
      <c r="D5" s="118" t="s">
        <v>84</v>
      </c>
      <c r="E5" s="119" t="s">
        <v>85</v>
      </c>
      <c r="F5" s="118" t="s">
        <v>86</v>
      </c>
      <c r="G5" s="118" t="s">
        <v>87</v>
      </c>
      <c r="H5" s="119" t="s">
        <v>85</v>
      </c>
      <c r="J5" s="54"/>
    </row>
    <row r="6" spans="1:16" ht="18" customHeight="1" x14ac:dyDescent="0.2">
      <c r="A6" s="54"/>
      <c r="C6" s="141" t="s">
        <v>109</v>
      </c>
      <c r="D6" s="70">
        <f>RIGHT(C6,8)*1</f>
        <v>66958</v>
      </c>
      <c r="E6" s="140">
        <v>0.85</v>
      </c>
      <c r="F6" s="109"/>
      <c r="G6" s="70"/>
      <c r="H6" s="109">
        <f>IF(Calculator!$D$6&lt;=D6,E6,IF(Calculator!$D$6&lt;D7,E6-(Calculator!$D$6-D6)/G7*F7,IF(Calculator!$D$6&lt;D8,E8,IF(Calculator!$D$6&lt;D9,E8-(Calculator!$D$6-D8)/G9*F9,IF(Calculator!$D$6&lt;D10,E10,E11)))))</f>
        <v>0.55319333333333331</v>
      </c>
      <c r="J6" s="54"/>
    </row>
    <row r="7" spans="1:16" ht="18" customHeight="1" x14ac:dyDescent="0.2">
      <c r="A7" s="54"/>
      <c r="C7" s="141" t="s">
        <v>110</v>
      </c>
      <c r="D7" s="70">
        <f t="shared" ref="D7:D10" si="0">RIGHT(C7,8)*1</f>
        <v>171958</v>
      </c>
      <c r="E7" s="140">
        <v>0.5</v>
      </c>
      <c r="F7" s="140">
        <v>0.01</v>
      </c>
      <c r="G7" s="143">
        <v>3000</v>
      </c>
      <c r="H7" s="69"/>
      <c r="J7" s="54"/>
    </row>
    <row r="8" spans="1:16" ht="18" customHeight="1" x14ac:dyDescent="0.2">
      <c r="A8" s="54"/>
      <c r="C8" s="141" t="s">
        <v>111</v>
      </c>
      <c r="D8" s="70">
        <f t="shared" si="0"/>
        <v>251248</v>
      </c>
      <c r="E8" s="140">
        <v>0.5</v>
      </c>
      <c r="F8" s="109"/>
      <c r="G8" s="70"/>
      <c r="H8" s="69"/>
      <c r="J8" s="54"/>
    </row>
    <row r="9" spans="1:16" ht="18" customHeight="1" x14ac:dyDescent="0.2">
      <c r="A9" s="54"/>
      <c r="C9" s="141" t="s">
        <v>112</v>
      </c>
      <c r="D9" s="70">
        <f t="shared" si="0"/>
        <v>341248</v>
      </c>
      <c r="E9" s="140">
        <v>0.2</v>
      </c>
      <c r="F9" s="140">
        <v>0.01</v>
      </c>
      <c r="G9" s="143">
        <v>3000</v>
      </c>
      <c r="H9" s="69"/>
      <c r="J9" s="54"/>
    </row>
    <row r="10" spans="1:16" ht="18" customHeight="1" x14ac:dyDescent="0.2">
      <c r="A10" s="54"/>
      <c r="C10" s="143" t="s">
        <v>113</v>
      </c>
      <c r="D10" s="70">
        <f t="shared" si="0"/>
        <v>351248</v>
      </c>
      <c r="E10" s="140">
        <v>0.2</v>
      </c>
      <c r="F10" s="109"/>
      <c r="G10" s="70"/>
      <c r="H10" s="69"/>
      <c r="J10" s="54"/>
    </row>
    <row r="11" spans="1:16" ht="18" customHeight="1" x14ac:dyDescent="0.2">
      <c r="A11" s="54"/>
      <c r="C11" s="141" t="s">
        <v>114</v>
      </c>
      <c r="D11" s="70">
        <f>D10</f>
        <v>351248</v>
      </c>
      <c r="E11" s="109">
        <v>0</v>
      </c>
      <c r="F11" s="109"/>
      <c r="G11" s="70"/>
      <c r="H11" s="69"/>
      <c r="J11" s="54"/>
    </row>
    <row r="12" spans="1:16" ht="18" customHeight="1" x14ac:dyDescent="0.2">
      <c r="A12" s="54"/>
      <c r="C12" s="69"/>
      <c r="D12" s="70"/>
      <c r="E12" s="109"/>
      <c r="F12" s="109"/>
      <c r="G12" s="70"/>
      <c r="H12" s="109"/>
      <c r="J12" s="54"/>
    </row>
    <row r="13" spans="1:16" ht="18" customHeight="1" x14ac:dyDescent="0.2">
      <c r="A13" s="54"/>
      <c r="C13" s="71" t="s">
        <v>106</v>
      </c>
      <c r="D13" s="70"/>
      <c r="E13" s="109"/>
      <c r="F13" s="109"/>
      <c r="G13" s="70"/>
      <c r="H13" s="109"/>
      <c r="J13" s="54"/>
    </row>
    <row r="14" spans="1:16" ht="18" customHeight="1" x14ac:dyDescent="0.2">
      <c r="A14" s="54"/>
      <c r="C14" s="117" t="s">
        <v>84</v>
      </c>
      <c r="D14" s="118" t="s">
        <v>84</v>
      </c>
      <c r="E14" s="119" t="s">
        <v>97</v>
      </c>
      <c r="F14" s="110"/>
      <c r="G14" s="72"/>
      <c r="H14" s="110"/>
      <c r="J14" s="54"/>
    </row>
    <row r="15" spans="1:16" ht="18" customHeight="1" x14ac:dyDescent="0.2">
      <c r="A15" s="54"/>
      <c r="C15" s="141" t="s">
        <v>115</v>
      </c>
      <c r="D15" s="70">
        <f>RIGHT(C15,8)*1</f>
        <v>186958</v>
      </c>
      <c r="E15" s="143">
        <v>10190</v>
      </c>
      <c r="F15" s="69"/>
      <c r="G15" s="69"/>
      <c r="H15" s="69"/>
      <c r="J15" s="54"/>
    </row>
    <row r="16" spans="1:16" ht="18" customHeight="1" x14ac:dyDescent="0.2">
      <c r="A16" s="54"/>
      <c r="C16" s="69"/>
      <c r="D16" s="70"/>
      <c r="E16" s="70"/>
      <c r="F16" s="69"/>
      <c r="G16" s="69"/>
      <c r="H16" s="69"/>
      <c r="J16" s="54"/>
    </row>
    <row r="17" spans="1:10" ht="18" customHeight="1" x14ac:dyDescent="0.2">
      <c r="A17" s="54"/>
      <c r="C17" s="71" t="s">
        <v>107</v>
      </c>
      <c r="D17" s="70"/>
      <c r="E17" s="70"/>
      <c r="F17" s="69"/>
      <c r="G17" s="69"/>
      <c r="H17" s="69"/>
      <c r="J17" s="54"/>
    </row>
    <row r="18" spans="1:10" ht="18" customHeight="1" x14ac:dyDescent="0.2">
      <c r="A18" s="54"/>
      <c r="C18" s="117" t="s">
        <v>104</v>
      </c>
      <c r="E18" s="118" t="s">
        <v>88</v>
      </c>
      <c r="F18" s="71"/>
      <c r="G18" s="71"/>
      <c r="H18" s="71"/>
      <c r="J18" s="54"/>
    </row>
    <row r="19" spans="1:10" ht="18" customHeight="1" x14ac:dyDescent="0.2">
      <c r="A19" s="54"/>
      <c r="C19" s="69" t="s">
        <v>81</v>
      </c>
      <c r="E19" s="142">
        <v>11.77</v>
      </c>
      <c r="F19" s="69"/>
      <c r="G19" s="69"/>
      <c r="H19" s="69"/>
      <c r="J19" s="54"/>
    </row>
    <row r="20" spans="1:10" ht="18" customHeight="1" x14ac:dyDescent="0.2">
      <c r="A20" s="54"/>
      <c r="C20" s="69" t="s">
        <v>82</v>
      </c>
      <c r="E20" s="142">
        <v>10.9</v>
      </c>
      <c r="F20" s="69"/>
      <c r="G20" s="69"/>
      <c r="H20" s="69"/>
      <c r="J20" s="54"/>
    </row>
    <row r="21" spans="1:10" ht="18" customHeight="1" x14ac:dyDescent="0.2">
      <c r="A21" s="54"/>
      <c r="C21" s="69" t="s">
        <v>83</v>
      </c>
      <c r="E21" s="142">
        <v>10.29</v>
      </c>
      <c r="F21" s="69"/>
      <c r="G21" s="69"/>
      <c r="H21" s="69"/>
      <c r="J21" s="54"/>
    </row>
    <row r="22" spans="1:10" ht="18" customHeight="1" x14ac:dyDescent="0.2">
      <c r="A22" s="54"/>
      <c r="J22" s="54"/>
    </row>
    <row r="23" spans="1:10" ht="18" customHeight="1" x14ac:dyDescent="0.2">
      <c r="A23" s="54"/>
      <c r="C23" s="71" t="s">
        <v>105</v>
      </c>
      <c r="J23" s="54"/>
    </row>
    <row r="24" spans="1:10" ht="18" customHeight="1" x14ac:dyDescent="0.2">
      <c r="A24" s="54"/>
      <c r="C24" s="117" t="s">
        <v>98</v>
      </c>
      <c r="D24" s="117"/>
      <c r="E24" s="118" t="s">
        <v>108</v>
      </c>
      <c r="F24" s="71"/>
      <c r="G24" s="71"/>
      <c r="H24" s="71"/>
      <c r="J24" s="54"/>
    </row>
    <row r="25" spans="1:10" ht="18" customHeight="1" x14ac:dyDescent="0.2">
      <c r="A25" s="54"/>
      <c r="C25" t="s">
        <v>99</v>
      </c>
      <c r="E25" s="141">
        <v>36</v>
      </c>
      <c r="J25" s="54"/>
    </row>
    <row r="26" spans="1:10" ht="18" customHeight="1" x14ac:dyDescent="0.2">
      <c r="A26" s="54"/>
      <c r="C26" t="s">
        <v>100</v>
      </c>
      <c r="E26" s="141">
        <v>72</v>
      </c>
      <c r="J26" s="54"/>
    </row>
    <row r="27" spans="1:10" ht="18" customHeight="1" x14ac:dyDescent="0.2">
      <c r="A27" s="54"/>
      <c r="C27" t="s">
        <v>101</v>
      </c>
      <c r="E27" s="141">
        <v>100</v>
      </c>
      <c r="J27" s="54"/>
    </row>
    <row r="28" spans="1:10" s="69" customFormat="1" ht="18" customHeight="1" x14ac:dyDescent="0.2">
      <c r="A28" s="54"/>
      <c r="J28" s="54"/>
    </row>
    <row r="29" spans="1:10" s="69" customFormat="1" ht="18" customHeight="1" x14ac:dyDescent="0.2">
      <c r="A29" s="54"/>
      <c r="C29" s="71" t="s">
        <v>121</v>
      </c>
      <c r="J29" s="54"/>
    </row>
    <row r="30" spans="1:10" s="69" customFormat="1" ht="18" customHeight="1" x14ac:dyDescent="0.2">
      <c r="A30" s="54"/>
      <c r="C30" s="69" t="s">
        <v>122</v>
      </c>
      <c r="E30" s="140">
        <v>0.05</v>
      </c>
      <c r="J30" s="54"/>
    </row>
    <row r="31" spans="1:10" ht="18" customHeight="1" x14ac:dyDescent="0.2">
      <c r="A31" s="54"/>
      <c r="J31" s="54"/>
    </row>
    <row r="32" spans="1:10" ht="18" customHeight="1" x14ac:dyDescent="0.2">
      <c r="A32" s="54"/>
      <c r="B32" s="54"/>
      <c r="C32" s="54"/>
      <c r="D32" s="54"/>
      <c r="E32" s="54"/>
      <c r="F32" s="54"/>
      <c r="G32" s="54"/>
      <c r="H32" s="54"/>
      <c r="I32" s="54"/>
      <c r="J32" s="54"/>
    </row>
  </sheetData>
  <sheetProtection password="E309" sheet="1" objects="1" scenarios="1"/>
  <mergeCells count="1">
    <mergeCell ref="B2:C2"/>
  </mergeCells>
  <hyperlinks>
    <hyperlink ref="B2"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1"/>
  <sheetViews>
    <sheetView showGridLines="0" workbookViewId="0"/>
  </sheetViews>
  <sheetFormatPr defaultColWidth="0" defaultRowHeight="0" customHeight="1" zeroHeight="1" x14ac:dyDescent="0.2"/>
  <cols>
    <col min="1" max="2" width="2.7109375" style="144" customWidth="1"/>
    <col min="3" max="8" width="20.7109375" style="144" customWidth="1"/>
    <col min="9" max="10" width="2.7109375" style="144" customWidth="1"/>
    <col min="11" max="16384" width="0" style="144" hidden="1"/>
  </cols>
  <sheetData>
    <row r="1" spans="1:16" s="155" customFormat="1" ht="32.1" customHeight="1" thickBot="1" x14ac:dyDescent="0.25">
      <c r="A1" s="51" t="s">
        <v>132</v>
      </c>
      <c r="B1" s="52"/>
      <c r="C1" s="52"/>
      <c r="D1" s="158"/>
      <c r="E1" s="157"/>
      <c r="F1" s="157"/>
      <c r="G1" s="53"/>
      <c r="H1" s="53"/>
      <c r="I1" s="53"/>
      <c r="J1" s="53"/>
      <c r="K1" s="156"/>
      <c r="L1" s="156"/>
      <c r="M1" s="156"/>
      <c r="N1" s="156"/>
      <c r="O1" s="156"/>
      <c r="P1" s="156"/>
    </row>
    <row r="2" spans="1:16" s="45" customFormat="1" ht="15.95" customHeight="1" x14ac:dyDescent="0.2">
      <c r="A2" s="116"/>
      <c r="B2" s="173" t="s">
        <v>7</v>
      </c>
      <c r="C2" s="174"/>
      <c r="D2" s="174"/>
      <c r="E2" s="63"/>
      <c r="F2" s="63"/>
      <c r="G2" s="63"/>
      <c r="H2" s="61"/>
      <c r="I2" s="63" t="s">
        <v>131</v>
      </c>
      <c r="J2" s="63"/>
      <c r="K2" s="44"/>
      <c r="L2" s="44"/>
      <c r="M2" s="44"/>
      <c r="N2" s="44"/>
      <c r="O2" s="44"/>
      <c r="P2" s="44"/>
    </row>
    <row r="3" spans="1:16" s="161" customFormat="1" ht="18" customHeight="1" x14ac:dyDescent="0.2">
      <c r="A3" s="54"/>
      <c r="B3" s="154"/>
      <c r="C3" s="1"/>
      <c r="D3" s="159"/>
      <c r="E3" s="160"/>
      <c r="F3" s="160"/>
      <c r="G3" s="159"/>
      <c r="H3" s="159"/>
      <c r="I3" s="153"/>
      <c r="J3" s="54"/>
    </row>
    <row r="4" spans="1:16" s="146" customFormat="1" ht="18" customHeight="1" x14ac:dyDescent="0.2">
      <c r="A4" s="54"/>
      <c r="B4" s="148"/>
      <c r="C4" s="152" t="s">
        <v>130</v>
      </c>
      <c r="D4" s="152"/>
      <c r="E4" s="152"/>
      <c r="F4" s="152"/>
      <c r="G4" s="152"/>
      <c r="H4" s="152"/>
      <c r="I4" s="152"/>
      <c r="J4" s="54"/>
    </row>
    <row r="5" spans="1:16" s="146" customFormat="1" ht="18" customHeight="1" x14ac:dyDescent="0.2">
      <c r="A5" s="54"/>
      <c r="B5" s="148"/>
      <c r="C5" s="177" t="s">
        <v>129</v>
      </c>
      <c r="D5" s="178"/>
      <c r="E5" s="178"/>
      <c r="F5" s="178"/>
      <c r="G5" s="178"/>
      <c r="H5" s="178"/>
      <c r="I5" s="1"/>
      <c r="J5" s="54"/>
    </row>
    <row r="6" spans="1:16" s="146" customFormat="1" ht="18" customHeight="1" x14ac:dyDescent="0.2">
      <c r="A6" s="54"/>
      <c r="B6" s="148"/>
      <c r="C6" s="178"/>
      <c r="D6" s="178"/>
      <c r="E6" s="178"/>
      <c r="F6" s="178"/>
      <c r="G6" s="178"/>
      <c r="H6" s="178"/>
      <c r="I6" s="1"/>
      <c r="J6" s="54"/>
    </row>
    <row r="7" spans="1:16" s="146" customFormat="1" ht="18" customHeight="1" x14ac:dyDescent="0.2">
      <c r="A7" s="54"/>
      <c r="B7" s="148"/>
      <c r="C7" s="179" t="s">
        <v>128</v>
      </c>
      <c r="D7" s="178"/>
      <c r="E7" s="178"/>
      <c r="F7" s="178"/>
      <c r="G7" s="178"/>
      <c r="H7" s="178"/>
      <c r="I7" s="1"/>
      <c r="J7" s="54"/>
    </row>
    <row r="8" spans="1:16" s="146" customFormat="1" ht="18" customHeight="1" x14ac:dyDescent="0.2">
      <c r="A8" s="54"/>
      <c r="B8" s="148"/>
      <c r="C8" s="178"/>
      <c r="D8" s="178"/>
      <c r="E8" s="178"/>
      <c r="F8" s="178"/>
      <c r="G8" s="178"/>
      <c r="H8" s="178"/>
      <c r="I8" s="1"/>
      <c r="J8" s="54"/>
    </row>
    <row r="9" spans="1:16" s="146" customFormat="1" ht="18" customHeight="1" x14ac:dyDescent="0.2">
      <c r="A9" s="54"/>
      <c r="B9" s="148"/>
      <c r="C9" s="151"/>
      <c r="D9" s="149"/>
      <c r="E9" s="149"/>
      <c r="F9" s="149"/>
      <c r="G9" s="149"/>
      <c r="H9" s="149"/>
      <c r="I9" s="149"/>
      <c r="J9" s="54"/>
    </row>
    <row r="10" spans="1:16" s="146" customFormat="1" ht="18" customHeight="1" x14ac:dyDescent="0.2">
      <c r="A10" s="54"/>
      <c r="B10" s="148"/>
      <c r="C10" s="150" t="s">
        <v>127</v>
      </c>
      <c r="D10" s="149"/>
      <c r="E10" s="149"/>
      <c r="F10" s="149"/>
      <c r="G10" s="149"/>
      <c r="H10" s="149"/>
      <c r="I10" s="149"/>
      <c r="J10" s="54"/>
    </row>
    <row r="11" spans="1:16" s="146" customFormat="1" ht="18" customHeight="1" x14ac:dyDescent="0.2">
      <c r="A11" s="54"/>
      <c r="B11" s="148"/>
      <c r="C11" s="177" t="s">
        <v>126</v>
      </c>
      <c r="D11" s="176"/>
      <c r="E11" s="176"/>
      <c r="F11" s="176"/>
      <c r="G11" s="176"/>
      <c r="H11" s="176"/>
      <c r="I11" s="1"/>
      <c r="J11" s="54"/>
    </row>
    <row r="12" spans="1:16" s="146" customFormat="1" ht="18" customHeight="1" x14ac:dyDescent="0.2">
      <c r="A12" s="54"/>
      <c r="B12" s="148"/>
      <c r="C12" s="176"/>
      <c r="D12" s="176"/>
      <c r="E12" s="176"/>
      <c r="F12" s="176"/>
      <c r="G12" s="176"/>
      <c r="H12" s="176"/>
      <c r="I12" s="1"/>
      <c r="J12" s="54"/>
    </row>
    <row r="13" spans="1:16" s="146" customFormat="1" ht="18" customHeight="1" x14ac:dyDescent="0.2">
      <c r="A13" s="54"/>
      <c r="B13" s="148"/>
      <c r="C13" s="176"/>
      <c r="D13" s="176"/>
      <c r="E13" s="176"/>
      <c r="F13" s="176"/>
      <c r="G13" s="176"/>
      <c r="H13" s="176"/>
      <c r="I13" s="1"/>
      <c r="J13" s="54"/>
    </row>
    <row r="14" spans="1:16" s="146" customFormat="1" ht="18" customHeight="1" x14ac:dyDescent="0.2">
      <c r="A14" s="54"/>
      <c r="B14" s="148"/>
      <c r="C14" s="176"/>
      <c r="D14" s="176"/>
      <c r="E14" s="176"/>
      <c r="F14" s="176"/>
      <c r="G14" s="176"/>
      <c r="H14" s="176"/>
      <c r="I14" s="1"/>
      <c r="J14" s="54"/>
    </row>
    <row r="15" spans="1:16" s="146" customFormat="1" ht="18" customHeight="1" x14ac:dyDescent="0.2">
      <c r="A15" s="54"/>
      <c r="B15" s="148"/>
      <c r="C15" s="176"/>
      <c r="D15" s="176"/>
      <c r="E15" s="176"/>
      <c r="F15" s="176"/>
      <c r="G15" s="176"/>
      <c r="H15" s="176"/>
      <c r="I15" s="1"/>
      <c r="J15" s="54"/>
    </row>
    <row r="16" spans="1:16" s="146" customFormat="1" ht="18" customHeight="1" x14ac:dyDescent="0.2">
      <c r="A16" s="54"/>
      <c r="B16" s="148"/>
      <c r="C16" s="175" t="s">
        <v>123</v>
      </c>
      <c r="D16" s="176"/>
      <c r="E16" s="176"/>
      <c r="F16" s="176"/>
      <c r="G16" s="176"/>
      <c r="H16" s="176"/>
      <c r="I16" s="1"/>
      <c r="J16" s="54"/>
    </row>
    <row r="17" spans="1:10" s="146" customFormat="1" ht="18" customHeight="1" x14ac:dyDescent="0.2">
      <c r="A17" s="54"/>
      <c r="B17" s="148"/>
      <c r="C17" s="151"/>
      <c r="D17" s="149"/>
      <c r="E17" s="149"/>
      <c r="F17" s="149"/>
      <c r="G17" s="149"/>
      <c r="H17" s="149"/>
      <c r="I17" s="149"/>
      <c r="J17" s="54"/>
    </row>
    <row r="18" spans="1:10" s="146" customFormat="1" ht="18" customHeight="1" x14ac:dyDescent="0.2">
      <c r="A18" s="54"/>
      <c r="B18" s="148"/>
      <c r="C18" s="150" t="s">
        <v>125</v>
      </c>
      <c r="D18" s="149"/>
      <c r="E18" s="149"/>
      <c r="F18" s="149"/>
      <c r="G18" s="149"/>
      <c r="H18" s="149"/>
      <c r="I18" s="149"/>
      <c r="J18" s="54"/>
    </row>
    <row r="19" spans="1:10" s="146" customFormat="1" ht="18" customHeight="1" x14ac:dyDescent="0.2">
      <c r="A19" s="54"/>
      <c r="B19" s="148"/>
      <c r="C19" s="177" t="s">
        <v>124</v>
      </c>
      <c r="D19" s="176"/>
      <c r="E19" s="176"/>
      <c r="F19" s="176"/>
      <c r="G19" s="176"/>
      <c r="H19" s="176"/>
      <c r="I19" s="1"/>
      <c r="J19" s="54"/>
    </row>
    <row r="20" spans="1:10" s="146" customFormat="1" ht="18" customHeight="1" x14ac:dyDescent="0.2">
      <c r="A20" s="54"/>
      <c r="B20" s="148"/>
      <c r="C20" s="176"/>
      <c r="D20" s="176"/>
      <c r="E20" s="176"/>
      <c r="F20" s="176"/>
      <c r="G20" s="176"/>
      <c r="H20" s="176"/>
      <c r="I20" s="1"/>
      <c r="J20" s="54"/>
    </row>
    <row r="21" spans="1:10" s="146" customFormat="1" ht="18" customHeight="1" x14ac:dyDescent="0.2">
      <c r="A21" s="54"/>
      <c r="B21" s="148"/>
      <c r="C21" s="176"/>
      <c r="D21" s="176"/>
      <c r="E21" s="176"/>
      <c r="F21" s="176"/>
      <c r="G21" s="176"/>
      <c r="H21" s="176"/>
      <c r="I21" s="1"/>
      <c r="J21" s="54"/>
    </row>
    <row r="22" spans="1:10" s="146" customFormat="1" ht="18" customHeight="1" x14ac:dyDescent="0.2">
      <c r="A22" s="54"/>
      <c r="B22" s="148"/>
      <c r="C22" s="176"/>
      <c r="D22" s="176"/>
      <c r="E22" s="176"/>
      <c r="F22" s="176"/>
      <c r="G22" s="176"/>
      <c r="H22" s="176"/>
      <c r="I22" s="1"/>
      <c r="J22" s="54"/>
    </row>
    <row r="23" spans="1:10" s="146" customFormat="1" ht="18" customHeight="1" x14ac:dyDescent="0.2">
      <c r="A23" s="54"/>
      <c r="B23" s="148"/>
      <c r="C23" s="176"/>
      <c r="D23" s="176"/>
      <c r="E23" s="176"/>
      <c r="F23" s="176"/>
      <c r="G23" s="176"/>
      <c r="H23" s="176"/>
      <c r="I23" s="1"/>
      <c r="J23" s="54"/>
    </row>
    <row r="24" spans="1:10" s="146" customFormat="1" ht="18" customHeight="1" x14ac:dyDescent="0.2">
      <c r="A24" s="54"/>
      <c r="B24" s="148"/>
      <c r="C24" s="175" t="s">
        <v>123</v>
      </c>
      <c r="D24" s="176"/>
      <c r="E24" s="176"/>
      <c r="F24" s="176"/>
      <c r="G24" s="176"/>
      <c r="H24" s="176"/>
      <c r="I24" s="1"/>
      <c r="J24" s="54"/>
    </row>
    <row r="25" spans="1:10" s="146" customFormat="1" ht="18" customHeight="1" x14ac:dyDescent="0.2">
      <c r="A25" s="54"/>
      <c r="B25" s="148"/>
      <c r="C25" s="147"/>
      <c r="D25" s="147"/>
      <c r="E25" s="147"/>
      <c r="F25" s="147"/>
      <c r="G25" s="147"/>
      <c r="H25" s="147"/>
      <c r="I25" s="147"/>
      <c r="J25" s="54"/>
    </row>
    <row r="26" spans="1:10" s="146" customFormat="1" ht="18" customHeight="1" x14ac:dyDescent="0.2">
      <c r="A26" s="54"/>
      <c r="B26" s="54"/>
      <c r="C26" s="54"/>
      <c r="D26" s="54"/>
      <c r="E26" s="54"/>
      <c r="F26" s="54"/>
      <c r="G26" s="54"/>
      <c r="H26" s="54"/>
      <c r="I26" s="54"/>
      <c r="J26" s="54"/>
    </row>
    <row r="27" spans="1:10" ht="15.95" hidden="1" customHeight="1" x14ac:dyDescent="0.2"/>
    <row r="28" spans="1:10" ht="15.95" hidden="1" customHeight="1" x14ac:dyDescent="0.2"/>
    <row r="29" spans="1:10" ht="15.95" hidden="1" customHeight="1" x14ac:dyDescent="0.2"/>
    <row r="30" spans="1:10" ht="15.95" hidden="1" customHeight="1" x14ac:dyDescent="0.2"/>
    <row r="31" spans="1:10" ht="15.95" hidden="1" customHeight="1" x14ac:dyDescent="0.2"/>
    <row r="32" spans="1:10" ht="15.95" hidden="1" customHeight="1" x14ac:dyDescent="0.2"/>
    <row r="33" ht="15.95" hidden="1" customHeight="1" x14ac:dyDescent="0.2"/>
    <row r="34" ht="15.95" hidden="1" customHeight="1" x14ac:dyDescent="0.2"/>
    <row r="35" ht="15.95" hidden="1" customHeight="1" x14ac:dyDescent="0.2"/>
    <row r="36" ht="15.95" hidden="1" customHeight="1" x14ac:dyDescent="0.2"/>
    <row r="37" ht="15.95" hidden="1" customHeight="1" x14ac:dyDescent="0.2"/>
    <row r="38" ht="15.95" hidden="1" customHeight="1" x14ac:dyDescent="0.2"/>
    <row r="39" ht="15.95" hidden="1" customHeight="1" x14ac:dyDescent="0.2"/>
    <row r="40" ht="15.95" hidden="1" customHeight="1" x14ac:dyDescent="0.2"/>
    <row r="41" ht="15.95" hidden="1" customHeight="1" x14ac:dyDescent="0.2"/>
    <row r="42" ht="15.95" hidden="1" customHeight="1" x14ac:dyDescent="0.2"/>
    <row r="43" ht="15.95" hidden="1" customHeight="1" x14ac:dyDescent="0.2"/>
    <row r="44" ht="15.95" hidden="1" customHeight="1" x14ac:dyDescent="0.2"/>
    <row r="45" ht="15.95" hidden="1" customHeight="1" x14ac:dyDescent="0.2"/>
    <row r="46" ht="15.95" hidden="1" customHeight="1" x14ac:dyDescent="0.2"/>
    <row r="47" ht="15.95" hidden="1" customHeight="1" x14ac:dyDescent="0.2"/>
    <row r="48" ht="15.95" hidden="1" customHeight="1" x14ac:dyDescent="0.2"/>
    <row r="49" ht="15.95" hidden="1" customHeight="1" x14ac:dyDescent="0.2"/>
    <row r="50" ht="15.95" hidden="1" customHeight="1" x14ac:dyDescent="0.2"/>
    <row r="51" ht="15.95" hidden="1" customHeight="1" x14ac:dyDescent="0.2"/>
    <row r="52" ht="15.95" hidden="1" customHeight="1" x14ac:dyDescent="0.2"/>
    <row r="53" ht="15.95" hidden="1" customHeight="1" x14ac:dyDescent="0.2"/>
    <row r="54" ht="15.95" hidden="1" customHeight="1" x14ac:dyDescent="0.2"/>
    <row r="55" ht="15.95" hidden="1" customHeight="1" x14ac:dyDescent="0.2"/>
    <row r="56" ht="15.95" hidden="1" customHeight="1" x14ac:dyDescent="0.2"/>
    <row r="57" ht="15.95" hidden="1" customHeight="1" x14ac:dyDescent="0.2"/>
    <row r="58" ht="15.95" hidden="1" customHeight="1" x14ac:dyDescent="0.2"/>
    <row r="59" ht="15.95" hidden="1" customHeight="1" x14ac:dyDescent="0.2"/>
    <row r="60" ht="15.95" hidden="1" customHeight="1" x14ac:dyDescent="0.2"/>
    <row r="61" ht="15.95" hidden="1" customHeight="1" x14ac:dyDescent="0.2"/>
    <row r="62" ht="15.95" hidden="1" customHeight="1" x14ac:dyDescent="0.2"/>
    <row r="63" ht="15.95" hidden="1" customHeight="1" x14ac:dyDescent="0.2"/>
    <row r="64" ht="15.95" hidden="1" customHeight="1" x14ac:dyDescent="0.2"/>
    <row r="65" ht="15.95" hidden="1" customHeight="1" x14ac:dyDescent="0.2"/>
    <row r="66" ht="15.95" hidden="1" customHeight="1" x14ac:dyDescent="0.2"/>
    <row r="67" ht="15.95" hidden="1" customHeight="1" x14ac:dyDescent="0.2"/>
    <row r="68" ht="15.95" hidden="1" customHeight="1" x14ac:dyDescent="0.2"/>
    <row r="69" ht="15.95" hidden="1" customHeight="1" x14ac:dyDescent="0.2"/>
    <row r="70" ht="15.95" hidden="1" customHeight="1" x14ac:dyDescent="0.2"/>
    <row r="71" ht="15.95" hidden="1" customHeight="1" x14ac:dyDescent="0.2"/>
    <row r="72" ht="15.95" hidden="1" customHeight="1" x14ac:dyDescent="0.2"/>
    <row r="73" ht="15.95" hidden="1" customHeight="1" x14ac:dyDescent="0.2"/>
    <row r="74" ht="15.95" hidden="1" customHeight="1" x14ac:dyDescent="0.2"/>
    <row r="75" ht="15.95" hidden="1" customHeight="1" x14ac:dyDescent="0.2"/>
    <row r="76" ht="15.95" hidden="1" customHeight="1" x14ac:dyDescent="0.2"/>
    <row r="77" ht="15.95" hidden="1" customHeight="1" x14ac:dyDescent="0.2"/>
    <row r="78" ht="15.95" hidden="1" customHeight="1" x14ac:dyDescent="0.2"/>
    <row r="79" ht="15.95" hidden="1" customHeight="1" x14ac:dyDescent="0.2"/>
    <row r="80" ht="15.95" hidden="1" customHeight="1" x14ac:dyDescent="0.2"/>
    <row r="81" spans="5:5" ht="15.95" hidden="1" customHeight="1" x14ac:dyDescent="0.2"/>
    <row r="82" spans="5:5" ht="15.95" hidden="1" customHeight="1" x14ac:dyDescent="0.2"/>
    <row r="83" spans="5:5" ht="15.95" hidden="1" customHeight="1" x14ac:dyDescent="0.2"/>
    <row r="84" spans="5:5" ht="15.95" hidden="1" customHeight="1" x14ac:dyDescent="0.2"/>
    <row r="85" spans="5:5" ht="15.95" hidden="1" customHeight="1" x14ac:dyDescent="0.2"/>
    <row r="86" spans="5:5" ht="15.95" hidden="1" customHeight="1" x14ac:dyDescent="0.2"/>
    <row r="87" spans="5:5" ht="15.95" hidden="1" customHeight="1" x14ac:dyDescent="0.2"/>
    <row r="88" spans="5:5" ht="15.95" hidden="1" customHeight="1" x14ac:dyDescent="0.2">
      <c r="E88" s="145"/>
    </row>
    <row r="89" spans="5:5" ht="15.95" hidden="1" customHeight="1" x14ac:dyDescent="0.2"/>
    <row r="90" spans="5:5" ht="15.95" hidden="1" customHeight="1" x14ac:dyDescent="0.2"/>
    <row r="91" spans="5:5" ht="15.95" hidden="1" customHeight="1" x14ac:dyDescent="0.2"/>
  </sheetData>
  <sheetProtection password="E309" sheet="1" objects="1" scenarios="1"/>
  <mergeCells count="7">
    <mergeCell ref="C24:H24"/>
    <mergeCell ref="B2:D2"/>
    <mergeCell ref="C5:H6"/>
    <mergeCell ref="C7:H8"/>
    <mergeCell ref="C11:H15"/>
    <mergeCell ref="C16:H16"/>
    <mergeCell ref="C19:H23"/>
  </mergeCells>
  <hyperlinks>
    <hyperlink ref="B2" r:id="rId1"/>
  </hyperlinks>
  <pageMargins left="0.75" right="0.75" top="1" bottom="1" header="0.5" footer="0.5"/>
  <pageSetup paperSize="9"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Calculator</vt:lpstr>
      <vt:lpstr>Reference</vt:lpstr>
      <vt:lpstr>Rates</vt:lpstr>
      <vt:lpstr>Terms of Use</vt:lpstr>
      <vt:lpstr>Calculator!_20</vt:lpstr>
      <vt:lpstr>Calculator!_27</vt:lpstr>
      <vt:lpstr>Calculator!_7</vt:lpstr>
    </vt:vector>
  </TitlesOfParts>
  <Company>www.investmentpropertycalculator.com.au</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Free Child Care Benefit Calculator</dc:title>
  <dc:creator>Patrick Shi</dc:creator>
  <cp:lastModifiedBy>Patrick</cp:lastModifiedBy>
  <cp:lastPrinted>2009-09-30T05:52:29Z</cp:lastPrinted>
  <dcterms:created xsi:type="dcterms:W3CDTF">2009-09-27T23:46:25Z</dcterms:created>
  <dcterms:modified xsi:type="dcterms:W3CDTF">2018-08-07T04:36:01Z</dcterms:modified>
</cp:coreProperties>
</file>